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RA-NUM\GROUPS\DnR\1_Projekte\58_RWTH Aachen\03_ABGABE\Digital\Formblätter\BNB Zielvereinbarungstabelle\"/>
    </mc:Choice>
  </mc:AlternateContent>
  <xr:revisionPtr revIDLastSave="0" documentId="13_ncr:1_{AA5070CA-982A-4DE7-AC5E-A8C6C5A2454C}" xr6:coauthVersionLast="47" xr6:coauthVersionMax="47" xr10:uidLastSave="{00000000-0000-0000-0000-000000000000}"/>
  <bookViews>
    <workbookView xWindow="-120" yWindow="-120" windowWidth="29040" windowHeight="17640" xr2:uid="{AFC0DB5A-C4F4-4EED-A9E5-8874807EBD56}"/>
  </bookViews>
  <sheets>
    <sheet name="Ökologische Auswirkungen" sheetId="1" r:id="rId1"/>
    <sheet name="Tabelle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1" l="1"/>
  <c r="W86" i="1"/>
  <c r="P86" i="1"/>
  <c r="X86" i="1"/>
  <c r="Q86" i="1"/>
  <c r="W78" i="1"/>
  <c r="X78" i="1"/>
  <c r="W70" i="1"/>
  <c r="X70" i="1"/>
  <c r="AL70" i="1" s="1"/>
  <c r="Q42" i="1"/>
  <c r="AE42" i="1" s="1"/>
  <c r="X35" i="1"/>
  <c r="W35" i="1"/>
  <c r="AK35" i="1" s="1"/>
  <c r="Q35" i="1"/>
  <c r="AE35" i="1"/>
  <c r="P35" i="1"/>
  <c r="AD35" i="1" s="1"/>
  <c r="AL86" i="1"/>
  <c r="AK86" i="1"/>
  <c r="AL78" i="1"/>
  <c r="AK78" i="1"/>
  <c r="AK70" i="1"/>
  <c r="AL62" i="1"/>
  <c r="AK62" i="1"/>
  <c r="AL55" i="1"/>
  <c r="AK55" i="1"/>
  <c r="AL48" i="1"/>
  <c r="AK48" i="1"/>
  <c r="AL42" i="1"/>
  <c r="AK42" i="1"/>
  <c r="AL35" i="1"/>
  <c r="AE86" i="1"/>
  <c r="AD86" i="1"/>
  <c r="AE78" i="1"/>
  <c r="AD78" i="1"/>
  <c r="AE70" i="1"/>
  <c r="AD70" i="1"/>
  <c r="AE62" i="1"/>
  <c r="AD62" i="1"/>
  <c r="AE55" i="1"/>
  <c r="AD55" i="1"/>
  <c r="AE48" i="1"/>
  <c r="AD48" i="1"/>
  <c r="AD42" i="1"/>
  <c r="AM15" i="1" l="1"/>
  <c r="AH23" i="1" s="1"/>
  <c r="W15" i="1"/>
  <c r="AL15" i="1" s="1"/>
  <c r="AG23" i="1" s="1"/>
  <c r="Q15" i="1"/>
  <c r="AF15" i="1" s="1"/>
  <c r="AA23" i="1" s="1"/>
  <c r="P15" i="1"/>
  <c r="AE15" i="1" s="1"/>
  <c r="Z23" i="1" s="1"/>
  <c r="Q23" i="1" l="1"/>
  <c r="P23" i="1"/>
  <c r="V35" i="1"/>
  <c r="U35" i="1"/>
  <c r="T35" i="1"/>
  <c r="S35" i="1"/>
  <c r="R35" i="1"/>
  <c r="O35" i="1"/>
  <c r="N35" i="1"/>
  <c r="M35" i="1"/>
  <c r="L35" i="1"/>
  <c r="K35" i="1"/>
  <c r="V86" i="1"/>
  <c r="AJ86" i="1" s="1"/>
  <c r="U86" i="1"/>
  <c r="AI86" i="1" s="1"/>
  <c r="T86" i="1"/>
  <c r="AH86" i="1" s="1"/>
  <c r="S86" i="1"/>
  <c r="AG86" i="1" s="1"/>
  <c r="R86" i="1"/>
  <c r="AF86" i="1" s="1"/>
  <c r="O86" i="1"/>
  <c r="N86" i="1"/>
  <c r="M86" i="1"/>
  <c r="L86" i="1"/>
  <c r="K86" i="1"/>
  <c r="A83" i="1"/>
  <c r="V78" i="1"/>
  <c r="U78" i="1"/>
  <c r="T78" i="1"/>
  <c r="S78" i="1"/>
  <c r="R78" i="1"/>
  <c r="A75" i="1"/>
  <c r="AI78" i="1" s="1"/>
  <c r="V70" i="1"/>
  <c r="U70" i="1"/>
  <c r="T70" i="1"/>
  <c r="S70" i="1"/>
  <c r="R70" i="1"/>
  <c r="A67" i="1"/>
  <c r="AA70" i="1" s="1"/>
  <c r="A60" i="1"/>
  <c r="Z62" i="1" s="1"/>
  <c r="A53" i="1"/>
  <c r="AI55" i="1" s="1"/>
  <c r="A46" i="1"/>
  <c r="AF48" i="1" s="1"/>
  <c r="A39" i="1"/>
  <c r="AA42" i="1" s="1"/>
  <c r="A32" i="1"/>
  <c r="U42" i="1"/>
  <c r="AI42" i="1" s="1"/>
  <c r="T42" i="1"/>
  <c r="S42" i="1"/>
  <c r="R42" i="1"/>
  <c r="AH35" i="1" l="1"/>
  <c r="AC35" i="1"/>
  <c r="AF55" i="1"/>
  <c r="AC48" i="1"/>
  <c r="AA48" i="1"/>
  <c r="AG42" i="1"/>
  <c r="AI70" i="1"/>
  <c r="AB86" i="1"/>
  <c r="AH42" i="1"/>
  <c r="AJ70" i="1"/>
  <c r="AC86" i="1"/>
  <c r="AI48" i="1"/>
  <c r="AG78" i="1"/>
  <c r="AF42" i="1"/>
  <c r="AB35" i="1"/>
  <c r="Z42" i="1"/>
  <c r="AH78" i="1"/>
  <c r="AJ78" i="1"/>
  <c r="AC78" i="1"/>
  <c r="Z35" i="1"/>
  <c r="Z70" i="1"/>
  <c r="Y86" i="1"/>
  <c r="AI62" i="1"/>
  <c r="AG70" i="1"/>
  <c r="AA62" i="1"/>
  <c r="AF78" i="1"/>
  <c r="Z86" i="1"/>
  <c r="AH70" i="1"/>
  <c r="AA86" i="1"/>
  <c r="AH55" i="1"/>
  <c r="AA35" i="1"/>
  <c r="AB78" i="1"/>
  <c r="AJ62" i="1"/>
  <c r="AG55" i="1"/>
  <c r="AB48" i="1"/>
  <c r="AA78" i="1"/>
  <c r="Y42" i="1"/>
  <c r="Z78" i="1"/>
  <c r="AH62" i="1"/>
  <c r="AC55" i="1"/>
  <c r="Z48" i="1"/>
  <c r="Y48" i="1"/>
  <c r="AG62" i="1"/>
  <c r="AB55" i="1"/>
  <c r="AJ42" i="1"/>
  <c r="Y35" i="1"/>
  <c r="Y55" i="1"/>
  <c r="AF62" i="1"/>
  <c r="AA55" i="1"/>
  <c r="AJ35" i="1"/>
  <c r="Y62" i="1"/>
  <c r="AC62" i="1"/>
  <c r="Z55" i="1"/>
  <c r="AI35" i="1"/>
  <c r="Y70" i="1"/>
  <c r="AB62" i="1"/>
  <c r="AJ48" i="1"/>
  <c r="AG35" i="1"/>
  <c r="AC70" i="1"/>
  <c r="AH48" i="1"/>
  <c r="AC42" i="1"/>
  <c r="AF35" i="1"/>
  <c r="AB70" i="1"/>
  <c r="AJ55" i="1"/>
  <c r="AG48" i="1"/>
  <c r="AB42" i="1"/>
  <c r="Y78" i="1"/>
  <c r="AF70" i="1"/>
  <c r="M15" i="1" l="1"/>
  <c r="AB15" i="1" s="1"/>
  <c r="W23" i="1" s="1"/>
  <c r="N15" i="1"/>
  <c r="AC15" i="1" s="1"/>
  <c r="X23" i="1" s="1"/>
  <c r="O15" i="1"/>
  <c r="AD15" i="1" s="1"/>
  <c r="Y23" i="1" s="1"/>
  <c r="U15" i="1"/>
  <c r="AJ15" i="1" s="1"/>
  <c r="AE23" i="1" s="1"/>
  <c r="L15" i="1"/>
  <c r="AA15" i="1" s="1"/>
  <c r="V23" i="1" s="1"/>
  <c r="R15" i="1"/>
  <c r="AG15" i="1" s="1"/>
  <c r="AB23" i="1" s="1"/>
  <c r="T15" i="1"/>
  <c r="AI15" i="1" s="1"/>
  <c r="AD23" i="1" s="1"/>
  <c r="K15" i="1"/>
  <c r="Z15" i="1" s="1"/>
  <c r="U23" i="1" s="1"/>
  <c r="V15" i="1"/>
  <c r="AK15" i="1" s="1"/>
  <c r="AF23" i="1" s="1"/>
  <c r="S15" i="1"/>
  <c r="AH15" i="1" s="1"/>
  <c r="AC23" i="1" s="1"/>
  <c r="L23" i="1" l="1"/>
  <c r="K23" i="1"/>
  <c r="O23" i="1"/>
  <c r="M23" i="1"/>
  <c r="N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tc={6DDAE3F0-0E74-41E3-B5E3-76E0FFFBA7E9}</author>
    <author>tc={9D51D594-1311-4D2C-8873-E38F2989EA79}</author>
  </authors>
  <commentList>
    <comment ref="J35" authorId="0" shapeId="0" xr:uid="{6DDAE3F0-0E74-41E3-B5E3-76E0FFFBA7E9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Einheiten aus EPD (in Tonnen) auf m² umgerechnet --F Faktor 1/25,74</t>
      </text>
    </comment>
    <comment ref="J86" authorId="1" shapeId="0" xr:uid="{9D51D594-1311-4D2C-8873-E38F2989EA79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Stückangaben auf m² Einheit umgerechnet</t>
      </text>
    </comment>
  </commentList>
</comments>
</file>

<file path=xl/sharedStrings.xml><?xml version="1.0" encoding="utf-8"?>
<sst xmlns="http://schemas.openxmlformats.org/spreadsheetml/2006/main" count="479" uniqueCount="74">
  <si>
    <t>Ökobilanzabschätzung</t>
  </si>
  <si>
    <t>Flächenaufstellung</t>
  </si>
  <si>
    <t>AW01</t>
  </si>
  <si>
    <t>AW02</t>
  </si>
  <si>
    <t>AW03</t>
  </si>
  <si>
    <t>DA02</t>
  </si>
  <si>
    <t>DA03</t>
  </si>
  <si>
    <t>FB01</t>
  </si>
  <si>
    <t>AF01</t>
  </si>
  <si>
    <t>AF02</t>
  </si>
  <si>
    <t>AF05</t>
  </si>
  <si>
    <t>AF06</t>
  </si>
  <si>
    <t>AF09</t>
  </si>
  <si>
    <t>AW04</t>
  </si>
  <si>
    <t>DA05</t>
  </si>
  <si>
    <t>m²</t>
  </si>
  <si>
    <t>Bauteil</t>
  </si>
  <si>
    <t>Bestand</t>
  </si>
  <si>
    <t>Schichten</t>
  </si>
  <si>
    <t>Innedämmung</t>
  </si>
  <si>
    <t>Material</t>
  </si>
  <si>
    <t>Kalziumsilikatplatten</t>
  </si>
  <si>
    <t>Dicke</t>
  </si>
  <si>
    <t>Datensatz</t>
  </si>
  <si>
    <t>Einheit</t>
  </si>
  <si>
    <t>A1-A3</t>
  </si>
  <si>
    <t>C1-C4</t>
  </si>
  <si>
    <t>m³</t>
  </si>
  <si>
    <t>GWP</t>
  </si>
  <si>
    <t>ODP</t>
  </si>
  <si>
    <t>POCP</t>
  </si>
  <si>
    <t>AP</t>
  </si>
  <si>
    <t>EP</t>
  </si>
  <si>
    <t>EPD_DE_Mikroporoese_Calciumsilikat-Waermedaemmstoffe_20.04.2018-19.04.2023.pdf (calsitherm.de)</t>
  </si>
  <si>
    <t>Dichte</t>
  </si>
  <si>
    <t>Einheit Dichte</t>
  </si>
  <si>
    <t>kg/m³</t>
  </si>
  <si>
    <t>Erfasst</t>
  </si>
  <si>
    <t>x</t>
  </si>
  <si>
    <t>Außendämmung</t>
  </si>
  <si>
    <t>EPS Hartschaumdämmung</t>
  </si>
  <si>
    <t>awrhhi01a-3.pdf (dataholz.eu)</t>
  </si>
  <si>
    <t>Holzrahmen</t>
  </si>
  <si>
    <t>kg/m²</t>
  </si>
  <si>
    <t>Gesamter Aufbau</t>
  </si>
  <si>
    <t>Fläche</t>
  </si>
  <si>
    <t>sdrhbi01a-3.pdf (dataholz.eu)</t>
  </si>
  <si>
    <t>nicht berückischtigt</t>
  </si>
  <si>
    <t>Mineralwolle</t>
  </si>
  <si>
    <t>BauderPIR_mit_Aluminium-Deckschicht_Branchen-EPD.pdf</t>
  </si>
  <si>
    <t>nicht berücksichtig</t>
  </si>
  <si>
    <t>nicht berücksichtigt</t>
  </si>
  <si>
    <t>BAU-EPD-PLATTFORM-FENSTER-HOLZ-VERBAND-OESTERREICH-2022-1-Ecoinvent-Holzfenster-2022-11-09.pdf</t>
  </si>
  <si>
    <t>kg/Stück (1,23x1,48)</t>
  </si>
  <si>
    <t>Fenster</t>
  </si>
  <si>
    <t>Kastenfenster Innen</t>
  </si>
  <si>
    <t>Seite 32</t>
  </si>
  <si>
    <t>BAU-EPD-ALUKOENIGSTAHL-2020-3-Ecoinvent-AWS-20200626.pdf</t>
  </si>
  <si>
    <t xml:space="preserve">AWS 70 </t>
  </si>
  <si>
    <t>Seite 21</t>
  </si>
  <si>
    <t>Pro Einheit</t>
  </si>
  <si>
    <t>Gesamt</t>
  </si>
  <si>
    <t>Gesamtrauswertung</t>
  </si>
  <si>
    <t>Gesamtrauswertung auf m²</t>
  </si>
  <si>
    <t>Bezugsfläche nach Energieausweis</t>
  </si>
  <si>
    <t>Betrachtungszeitraum</t>
  </si>
  <si>
    <t>Jahre</t>
  </si>
  <si>
    <t>Austauschzyklus</t>
  </si>
  <si>
    <t xml:space="preserve">Gesamtrauswertung auf m² pro Jahr </t>
  </si>
  <si>
    <t>A1-C4</t>
  </si>
  <si>
    <t>Gesamtauwertung / m² /a</t>
  </si>
  <si>
    <t>PEne</t>
  </si>
  <si>
    <t>PEe</t>
  </si>
  <si>
    <t>WB_Sanierung_RWTH_Aachen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</si>
</sst>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2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2" fillId="0" borderId="5" xfId="2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vertical="center"/>
    </xf>
    <xf numFmtId="0" fontId="0" fillId="2" borderId="2" xfId="0" applyFill="1" applyBorder="1"/>
    <xf numFmtId="0" fontId="0" fillId="2" borderId="0" xfId="0" applyFill="1"/>
    <xf numFmtId="0" fontId="0" fillId="2" borderId="5" xfId="0" applyFill="1" applyBorder="1"/>
    <xf numFmtId="0" fontId="0" fillId="3" borderId="2" xfId="0" applyFill="1" applyBorder="1"/>
    <xf numFmtId="0" fontId="0" fillId="3" borderId="3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7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4" borderId="0" xfId="0" applyFill="1"/>
    <xf numFmtId="43" fontId="0" fillId="0" borderId="0" xfId="1" applyFont="1"/>
    <xf numFmtId="43" fontId="0" fillId="0" borderId="4" xfId="1" applyFont="1" applyBorder="1"/>
    <xf numFmtId="166" fontId="0" fillId="0" borderId="5" xfId="1" applyNumberFormat="1" applyFont="1" applyBorder="1"/>
    <xf numFmtId="0" fontId="0" fillId="7" borderId="0" xfId="0" applyFill="1"/>
    <xf numFmtId="0" fontId="0" fillId="4" borderId="10" xfId="0" applyFill="1" applyBorder="1"/>
    <xf numFmtId="0" fontId="0" fillId="3" borderId="0" xfId="0" applyFill="1"/>
    <xf numFmtId="164" fontId="0" fillId="0" borderId="4" xfId="1" applyNumberFormat="1" applyFont="1" applyBorder="1"/>
    <xf numFmtId="165" fontId="0" fillId="0" borderId="4" xfId="1" applyNumberFormat="1" applyFont="1" applyBorder="1"/>
    <xf numFmtId="166" fontId="0" fillId="0" borderId="4" xfId="1" applyNumberFormat="1" applyFont="1" applyBorder="1"/>
    <xf numFmtId="166" fontId="0" fillId="0" borderId="14" xfId="1" applyNumberFormat="1" applyFont="1" applyBorder="1"/>
    <xf numFmtId="0" fontId="0" fillId="4" borderId="2" xfId="0" applyFill="1" applyBorder="1"/>
    <xf numFmtId="0" fontId="0" fillId="4" borderId="3" xfId="0" applyFill="1" applyBorder="1"/>
    <xf numFmtId="0" fontId="0" fillId="0" borderId="4" xfId="0" applyBorder="1"/>
    <xf numFmtId="11" fontId="0" fillId="0" borderId="5" xfId="0" applyNumberFormat="1" applyBorder="1"/>
    <xf numFmtId="11" fontId="0" fillId="0" borderId="6" xfId="0" applyNumberFormat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11" xfId="0" applyFill="1" applyBorder="1" applyAlignment="1">
      <alignment horizontal="center" vertical="center"/>
    </xf>
  </cellXfs>
  <cellStyles count="3">
    <cellStyle name="Komma" xfId="1" builtinId="3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rtmann, Dominik" id="{69BF1B19-FE56-4966-8860-1EDFBD153506}" userId="S::dominik.hartmann@atp-sustain.ag::eabdbad8-c597-4eb7-8b18-f7e8e90ac62f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35" dT="2024-05-10T16:38:05.65" personId="{69BF1B19-FE56-4966-8860-1EDFBD153506}" id="{6DDAE3F0-0E74-41E3-B5E3-76E0FFFBA7E9}">
    <text>Einheiten aus EPD (in Tonnen) auf m² umgerechnet --F Faktor 1/25,74</text>
  </threadedComment>
  <threadedComment ref="J86" dT="2024-05-10T16:26:22.03" personId="{69BF1B19-FE56-4966-8860-1EDFBD153506}" id="{9D51D594-1311-4D2C-8873-E38F2989EA79}">
    <text>Stückangaben auf m² Einheit umgerechnet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u-epd.at/fileadmin/user_upload/epds_Deutsch/BAU-EPD-ALUKOENIGSTAHL-2020-3-Ecoinvent-AWS-20200626.pdf" TargetMode="External"/><Relationship Id="rId3" Type="http://schemas.openxmlformats.org/officeDocument/2006/relationships/hyperlink" Target="https://www.dataholz.eu/download/de/awrhhi01a-3.pdf" TargetMode="External"/><Relationship Id="rId7" Type="http://schemas.openxmlformats.org/officeDocument/2006/relationships/hyperlink" Target="https://www.bau-epd.at/fileadmin/user_upload/epds_Deutsch/BAU-EPD-PLATTFORM-FENSTER-HOLZ-VERBAND-OESTERREICH-2022-1-Ecoinvent-Holzfenster-2022-11-09.pdf" TargetMode="External"/><Relationship Id="rId2" Type="http://schemas.openxmlformats.org/officeDocument/2006/relationships/hyperlink" Target="https://www.calsitherm.de/fileadmin/Downloads/EPD_DE_Mikroporoese_Calciumsilikat-Waermedaemmstoffe_20.04.2018-19.04.2023.pdf" TargetMode="External"/><Relationship Id="rId1" Type="http://schemas.openxmlformats.org/officeDocument/2006/relationships/hyperlink" Target="https://www.calsitherm.de/fileadmin/Downloads/EPD_DE_Mikroporoese_Calciumsilikat-Waermedaemmstoffe_20.04.2018-19.04.2023.pdf" TargetMode="External"/><Relationship Id="rId6" Type="http://schemas.openxmlformats.org/officeDocument/2006/relationships/hyperlink" Target="https://www.bauder.de/fileadmin/bauder.de/DOWNLOADS/ALLGEMEIN/Zertifikate/EPD/BauderPIR_mit_Aluminium-Deckschicht_Branchen-EPD.pdf" TargetMode="External"/><Relationship Id="rId11" Type="http://schemas.microsoft.com/office/2017/10/relationships/threadedComment" Target="../threadedComments/threadedComment1.xml"/><Relationship Id="rId5" Type="http://schemas.openxmlformats.org/officeDocument/2006/relationships/hyperlink" Target="https://www.dataholz.eu/download/de/sdrhbi01a-3.pdf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www.dataholz.eu/download/de/awrhhi01a-3.pdf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5AAF7-A0D3-4450-8A86-413643462B6F}">
  <dimension ref="A3:AM87"/>
  <sheetViews>
    <sheetView tabSelected="1" zoomScale="40" zoomScaleNormal="40" workbookViewId="0">
      <selection activeCell="E6" sqref="E6"/>
    </sheetView>
  </sheetViews>
  <sheetFormatPr baseColWidth="10" defaultRowHeight="15" x14ac:dyDescent="0.25"/>
  <cols>
    <col min="3" max="3" width="14.7109375" customWidth="1"/>
    <col min="4" max="4" width="19.7109375" customWidth="1"/>
    <col min="7" max="7" width="19.7109375" bestFit="1" customWidth="1"/>
    <col min="11" max="11" width="14.42578125" bestFit="1" customWidth="1"/>
    <col min="12" max="12" width="12" bestFit="1" customWidth="1"/>
    <col min="15" max="15" width="12" bestFit="1" customWidth="1"/>
    <col min="16" max="17" width="12" customWidth="1"/>
    <col min="18" max="18" width="14.42578125" bestFit="1" customWidth="1"/>
    <col min="19" max="19" width="12" bestFit="1" customWidth="1"/>
    <col min="20" max="21" width="14.42578125" bestFit="1" customWidth="1"/>
    <col min="22" max="22" width="12" bestFit="1" customWidth="1"/>
    <col min="23" max="23" width="12" customWidth="1"/>
    <col min="24" max="24" width="13.5703125" customWidth="1"/>
    <col min="39" max="39" width="15.85546875" customWidth="1"/>
    <col min="44" max="44" width="14.28515625" customWidth="1"/>
  </cols>
  <sheetData>
    <row r="3" spans="2:39" x14ac:dyDescent="0.25">
      <c r="B3" t="s">
        <v>73</v>
      </c>
    </row>
    <row r="5" spans="2:39" x14ac:dyDescent="0.25">
      <c r="B5" t="s">
        <v>0</v>
      </c>
    </row>
    <row r="7" spans="2:39" x14ac:dyDescent="0.25">
      <c r="B7" t="s">
        <v>1</v>
      </c>
      <c r="Z7" t="s">
        <v>64</v>
      </c>
      <c r="AF7" t="s">
        <v>65</v>
      </c>
    </row>
    <row r="8" spans="2:39" x14ac:dyDescent="0.25">
      <c r="Z8">
        <v>10149</v>
      </c>
      <c r="AA8" t="s">
        <v>15</v>
      </c>
      <c r="AF8">
        <v>50</v>
      </c>
      <c r="AG8" t="s">
        <v>66</v>
      </c>
    </row>
    <row r="10" spans="2:39" x14ac:dyDescent="0.25">
      <c r="B10" t="s">
        <v>16</v>
      </c>
      <c r="C10" t="s">
        <v>15</v>
      </c>
      <c r="D10" t="s">
        <v>37</v>
      </c>
    </row>
    <row r="11" spans="2:39" x14ac:dyDescent="0.25">
      <c r="B11" t="s">
        <v>2</v>
      </c>
      <c r="C11">
        <v>5946.81</v>
      </c>
      <c r="D11" t="s">
        <v>38</v>
      </c>
    </row>
    <row r="12" spans="2:39" ht="15.75" thickBot="1" x14ac:dyDescent="0.3">
      <c r="B12" t="s">
        <v>3</v>
      </c>
      <c r="C12">
        <v>909.37</v>
      </c>
      <c r="D12" t="s">
        <v>38</v>
      </c>
      <c r="K12" s="53" t="s">
        <v>62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Z12" s="53" t="s">
        <v>63</v>
      </c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</row>
    <row r="13" spans="2:39" ht="15.75" thickBot="1" x14ac:dyDescent="0.3">
      <c r="B13" t="s">
        <v>4</v>
      </c>
      <c r="C13">
        <v>155.91</v>
      </c>
      <c r="D13" t="s">
        <v>38</v>
      </c>
      <c r="K13" s="39" t="s">
        <v>25</v>
      </c>
      <c r="L13" s="40"/>
      <c r="M13" s="40"/>
      <c r="N13" s="40"/>
      <c r="O13" s="40"/>
      <c r="P13" s="40"/>
      <c r="Q13" s="41"/>
      <c r="R13" s="51" t="s">
        <v>26</v>
      </c>
      <c r="S13" s="42"/>
      <c r="T13" s="42"/>
      <c r="U13" s="42"/>
      <c r="V13" s="42"/>
      <c r="W13" s="42"/>
      <c r="X13" s="52"/>
      <c r="Z13" s="39" t="s">
        <v>25</v>
      </c>
      <c r="AA13" s="40"/>
      <c r="AB13" s="40"/>
      <c r="AC13" s="40"/>
      <c r="AD13" s="40"/>
      <c r="AE13" s="40"/>
      <c r="AF13" s="41"/>
      <c r="AG13" s="39" t="s">
        <v>26</v>
      </c>
      <c r="AH13" s="40"/>
      <c r="AI13" s="40"/>
      <c r="AJ13" s="40"/>
      <c r="AK13" s="40"/>
      <c r="AL13" s="40"/>
      <c r="AM13" s="41"/>
    </row>
    <row r="14" spans="2:39" ht="15.75" thickBot="1" x14ac:dyDescent="0.3">
      <c r="B14" t="s">
        <v>13</v>
      </c>
      <c r="C14">
        <v>788.73</v>
      </c>
      <c r="D14" t="s">
        <v>38</v>
      </c>
      <c r="K14" s="20" t="s">
        <v>28</v>
      </c>
      <c r="L14" s="18" t="s">
        <v>30</v>
      </c>
      <c r="M14" s="18" t="s">
        <v>31</v>
      </c>
      <c r="N14" s="18" t="s">
        <v>32</v>
      </c>
      <c r="O14" s="18" t="s">
        <v>29</v>
      </c>
      <c r="P14" s="18" t="s">
        <v>71</v>
      </c>
      <c r="Q14" s="19" t="s">
        <v>72</v>
      </c>
      <c r="R14" s="20" t="s">
        <v>28</v>
      </c>
      <c r="S14" s="18" t="s">
        <v>30</v>
      </c>
      <c r="T14" s="18" t="s">
        <v>31</v>
      </c>
      <c r="U14" s="18" t="s">
        <v>32</v>
      </c>
      <c r="V14" s="18" t="s">
        <v>29</v>
      </c>
      <c r="W14" s="18" t="s">
        <v>71</v>
      </c>
      <c r="X14" s="19" t="s">
        <v>72</v>
      </c>
      <c r="Z14" s="20" t="s">
        <v>28</v>
      </c>
      <c r="AA14" s="18" t="s">
        <v>30</v>
      </c>
      <c r="AB14" s="18" t="s">
        <v>31</v>
      </c>
      <c r="AC14" s="18" t="s">
        <v>32</v>
      </c>
      <c r="AD14" s="18" t="s">
        <v>29</v>
      </c>
      <c r="AE14" s="18" t="s">
        <v>71</v>
      </c>
      <c r="AF14" s="19" t="s">
        <v>72</v>
      </c>
      <c r="AG14" s="20" t="s">
        <v>28</v>
      </c>
      <c r="AH14" s="18" t="s">
        <v>30</v>
      </c>
      <c r="AI14" s="18" t="s">
        <v>31</v>
      </c>
      <c r="AJ14" s="18" t="s">
        <v>32</v>
      </c>
      <c r="AK14" s="18" t="s">
        <v>29</v>
      </c>
      <c r="AL14" s="18" t="s">
        <v>71</v>
      </c>
      <c r="AM14" s="19" t="s">
        <v>72</v>
      </c>
    </row>
    <row r="15" spans="2:39" x14ac:dyDescent="0.25">
      <c r="K15" s="24">
        <f t="shared" ref="K15:Q15" si="0">SUM(Y35+Y42+Y48+Y55+Y62+Y70+Y78+Y86)</f>
        <v>965145.20363532449</v>
      </c>
      <c r="L15" s="24">
        <f t="shared" si="0"/>
        <v>1504.2361940001972</v>
      </c>
      <c r="M15" s="24">
        <f t="shared" si="0"/>
        <v>5286.4475021556436</v>
      </c>
      <c r="N15" s="24">
        <f t="shared" si="0"/>
        <v>931.50049604971696</v>
      </c>
      <c r="O15" s="24">
        <f t="shared" si="0"/>
        <v>121.81711274323563</v>
      </c>
      <c r="P15" s="24">
        <f t="shared" si="0"/>
        <v>26802613.492910612</v>
      </c>
      <c r="Q15" s="24">
        <f t="shared" si="0"/>
        <v>14066538.382912155</v>
      </c>
      <c r="R15" s="24">
        <f t="shared" ref="R15:W15" si="1">SUM(AF35+AF42+AF48+AF55+AF62+AF70+AF78+AF86)</f>
        <v>586068.38085607963</v>
      </c>
      <c r="S15" s="24">
        <f t="shared" si="1"/>
        <v>56.442706084427613</v>
      </c>
      <c r="T15" s="24">
        <f t="shared" si="1"/>
        <v>123.92398892635447</v>
      </c>
      <c r="U15" s="24">
        <f t="shared" si="1"/>
        <v>237.51970083381283</v>
      </c>
      <c r="V15" s="24">
        <f t="shared" si="1"/>
        <v>5.5216335749008598</v>
      </c>
      <c r="W15" s="24">
        <f t="shared" si="1"/>
        <v>369436.6947383816</v>
      </c>
      <c r="X15" s="24">
        <f>SUM(AL35+AL42+AL48+AL55+AL62+AL70+AL78+AL86)</f>
        <v>-3134362.3112835623</v>
      </c>
      <c r="Z15" s="24">
        <f>K15/$Z$8</f>
        <v>95.097566620881324</v>
      </c>
      <c r="AA15" s="24">
        <f>L15/$Z$8</f>
        <v>0.14821521273033769</v>
      </c>
      <c r="AB15" s="24">
        <f>M15/$Z$8</f>
        <v>0.52088358480201435</v>
      </c>
      <c r="AC15" s="24">
        <f>N15/$Z$8</f>
        <v>9.1782490496572763E-2</v>
      </c>
      <c r="AD15" s="24">
        <f>O15/$Z$8</f>
        <v>1.2002868533179193E-2</v>
      </c>
      <c r="AE15" s="24">
        <f t="shared" ref="AE15:AF15" si="2">P15/$Z$8</f>
        <v>2640.9117640073518</v>
      </c>
      <c r="AF15">
        <f t="shared" si="2"/>
        <v>1386.0024024940542</v>
      </c>
      <c r="AG15" s="24">
        <f>R15/$Z$8</f>
        <v>57.746416480055139</v>
      </c>
      <c r="AH15" s="24">
        <f>S15/$Z$8</f>
        <v>5.5614056640484397E-3</v>
      </c>
      <c r="AI15" s="24">
        <f>T15/$Z$8</f>
        <v>1.2210462994024483E-2</v>
      </c>
      <c r="AJ15" s="24">
        <f>U15/$Z$8</f>
        <v>2.3403261487221681E-2</v>
      </c>
      <c r="AK15" s="24">
        <f>V15/$Z$8</f>
        <v>5.4405690953797023E-4</v>
      </c>
      <c r="AL15" s="24">
        <f t="shared" ref="AL15:AM15" si="3">W15/$Z$8</f>
        <v>36.401290249126177</v>
      </c>
      <c r="AM15" s="24">
        <f t="shared" si="3"/>
        <v>-308.83459565312467</v>
      </c>
    </row>
    <row r="17" spans="1:38" x14ac:dyDescent="0.25">
      <c r="B17" t="s">
        <v>5</v>
      </c>
      <c r="C17">
        <v>2074.42</v>
      </c>
      <c r="D17" t="s">
        <v>38</v>
      </c>
    </row>
    <row r="18" spans="1:38" ht="15.75" thickBot="1" x14ac:dyDescent="0.3">
      <c r="B18" t="s">
        <v>6</v>
      </c>
      <c r="C18">
        <v>781.44</v>
      </c>
      <c r="D18" t="s">
        <v>47</v>
      </c>
    </row>
    <row r="19" spans="1:38" ht="15.75" thickBot="1" x14ac:dyDescent="0.3">
      <c r="B19" t="s">
        <v>14</v>
      </c>
      <c r="C19">
        <v>931.71</v>
      </c>
      <c r="D19" t="s">
        <v>38</v>
      </c>
      <c r="J19" s="29"/>
      <c r="K19" s="29"/>
      <c r="L19" s="29"/>
      <c r="M19" s="29"/>
      <c r="N19" s="29"/>
      <c r="O19" s="29"/>
      <c r="P19" s="29"/>
      <c r="Q19" s="29"/>
      <c r="R19" s="29"/>
      <c r="T19" s="27"/>
      <c r="U19" s="54" t="s">
        <v>68</v>
      </c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6"/>
      <c r="AI19" s="27"/>
    </row>
    <row r="20" spans="1:38" ht="15.75" thickBot="1" x14ac:dyDescent="0.3">
      <c r="J20" s="29"/>
      <c r="K20" s="43" t="s">
        <v>70</v>
      </c>
      <c r="L20" s="44"/>
      <c r="M20" s="44"/>
      <c r="N20" s="44"/>
      <c r="O20" s="44"/>
      <c r="P20" s="44"/>
      <c r="Q20" s="45"/>
      <c r="R20" s="29"/>
      <c r="T20" s="27"/>
      <c r="U20" s="57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9"/>
      <c r="AI20" s="27"/>
    </row>
    <row r="21" spans="1:38" ht="15.75" thickBot="1" x14ac:dyDescent="0.3">
      <c r="B21" t="s">
        <v>7</v>
      </c>
      <c r="C21">
        <v>90.68</v>
      </c>
      <c r="D21" t="s">
        <v>50</v>
      </c>
      <c r="J21" s="29"/>
      <c r="K21" s="39" t="s">
        <v>69</v>
      </c>
      <c r="L21" s="40"/>
      <c r="M21" s="40"/>
      <c r="N21" s="40"/>
      <c r="O21" s="40"/>
      <c r="P21" s="40"/>
      <c r="Q21" s="41"/>
      <c r="R21" s="29"/>
      <c r="T21" s="27"/>
      <c r="U21" s="39" t="s">
        <v>25</v>
      </c>
      <c r="V21" s="40"/>
      <c r="W21" s="40"/>
      <c r="X21" s="40"/>
      <c r="Y21" s="40"/>
      <c r="Z21" s="40"/>
      <c r="AA21" s="41"/>
      <c r="AB21" s="39" t="s">
        <v>26</v>
      </c>
      <c r="AC21" s="40"/>
      <c r="AD21" s="40"/>
      <c r="AE21" s="40"/>
      <c r="AF21" s="40"/>
      <c r="AG21" s="40"/>
      <c r="AH21" s="41"/>
      <c r="AI21" s="27"/>
    </row>
    <row r="22" spans="1:38" x14ac:dyDescent="0.25">
      <c r="B22" t="s">
        <v>7</v>
      </c>
      <c r="C22">
        <v>3695.33</v>
      </c>
      <c r="D22" t="s">
        <v>51</v>
      </c>
      <c r="J22" s="29"/>
      <c r="K22" s="28" t="s">
        <v>28</v>
      </c>
      <c r="L22" s="23" t="s">
        <v>30</v>
      </c>
      <c r="M22" s="23" t="s">
        <v>31</v>
      </c>
      <c r="N22" s="23" t="s">
        <v>32</v>
      </c>
      <c r="O22" s="23" t="s">
        <v>29</v>
      </c>
      <c r="P22" s="34" t="s">
        <v>71</v>
      </c>
      <c r="Q22" s="35" t="s">
        <v>72</v>
      </c>
      <c r="R22" s="29"/>
      <c r="T22" s="27"/>
      <c r="U22" s="28" t="s">
        <v>28</v>
      </c>
      <c r="V22" s="23" t="s">
        <v>30</v>
      </c>
      <c r="W22" s="23" t="s">
        <v>31</v>
      </c>
      <c r="X22" s="23" t="s">
        <v>32</v>
      </c>
      <c r="Y22" s="34" t="s">
        <v>29</v>
      </c>
      <c r="Z22" s="34" t="s">
        <v>71</v>
      </c>
      <c r="AA22" s="35" t="s">
        <v>72</v>
      </c>
      <c r="AB22" s="28" t="s">
        <v>28</v>
      </c>
      <c r="AC22" s="23" t="s">
        <v>30</v>
      </c>
      <c r="AD22" s="23" t="s">
        <v>31</v>
      </c>
      <c r="AE22" s="23" t="s">
        <v>32</v>
      </c>
      <c r="AF22" s="34" t="s">
        <v>29</v>
      </c>
      <c r="AG22" s="34" t="s">
        <v>71</v>
      </c>
      <c r="AH22" s="35" t="s">
        <v>72</v>
      </c>
      <c r="AI22" s="27"/>
    </row>
    <row r="23" spans="1:38" ht="15.75" thickBot="1" x14ac:dyDescent="0.3">
      <c r="J23" s="29"/>
      <c r="K23" s="25">
        <f>U23+AB23</f>
        <v>3.0568796620187291</v>
      </c>
      <c r="L23" s="32">
        <f>V23+AC23</f>
        <v>3.0755323678877226E-3</v>
      </c>
      <c r="M23" s="30">
        <f>W23+AD23</f>
        <v>1.0661880955920777E-2</v>
      </c>
      <c r="N23" s="31">
        <f>X23+AE23</f>
        <v>2.3037150396758889E-3</v>
      </c>
      <c r="O23" s="33">
        <f>Y23+AF23</f>
        <v>2.5093850885434329E-4</v>
      </c>
      <c r="P23" s="25">
        <f t="shared" ref="P23:Q23" si="4">Z23+AG23</f>
        <v>53.546261085129558</v>
      </c>
      <c r="Q23" s="33">
        <f t="shared" si="4"/>
        <v>21.543356136818588</v>
      </c>
      <c r="R23" s="29"/>
      <c r="T23" s="27"/>
      <c r="U23" s="25">
        <f>Z15/$AF$8</f>
        <v>1.9019513324176265</v>
      </c>
      <c r="V23" s="26">
        <f>AA15/$AF$8</f>
        <v>2.9643042546067537E-3</v>
      </c>
      <c r="W23" s="26">
        <f>AB15/$AF$8</f>
        <v>1.0417671696040288E-2</v>
      </c>
      <c r="X23" s="26">
        <f>AC15/$AF$8</f>
        <v>1.8356498099314552E-3</v>
      </c>
      <c r="Y23" s="26">
        <f>AD15/$AF$8</f>
        <v>2.4005737066358387E-4</v>
      </c>
      <c r="Z23" s="2">
        <f t="shared" ref="Z23:AA23" si="5">AE15/$AF$8</f>
        <v>52.818235280147036</v>
      </c>
      <c r="AA23" s="3">
        <f t="shared" si="5"/>
        <v>27.720048049881083</v>
      </c>
      <c r="AB23" s="25">
        <f>AG15/$AF$8</f>
        <v>1.1549283296011028</v>
      </c>
      <c r="AC23" s="26">
        <f>AH15/$AF$8</f>
        <v>1.1122811328096879E-4</v>
      </c>
      <c r="AD23" s="26">
        <f>AI15/$AF$8</f>
        <v>2.4420925988048964E-4</v>
      </c>
      <c r="AE23" s="26">
        <f>AJ15/$AF$8</f>
        <v>4.6806522974443364E-4</v>
      </c>
      <c r="AF23" s="26">
        <f>AK15/$AF$8</f>
        <v>1.0881138190759405E-5</v>
      </c>
      <c r="AG23" s="2">
        <f t="shared" ref="AG23:AH23" si="6">AL15/$AF$8</f>
        <v>0.72802580498252356</v>
      </c>
      <c r="AH23" s="3">
        <f t="shared" si="6"/>
        <v>-6.1766919130624931</v>
      </c>
      <c r="AI23" s="27"/>
    </row>
    <row r="24" spans="1:38" x14ac:dyDescent="0.25">
      <c r="B24" t="s">
        <v>8</v>
      </c>
      <c r="C24">
        <v>131.83000000000001</v>
      </c>
      <c r="D24" t="s">
        <v>38</v>
      </c>
      <c r="J24" s="29"/>
      <c r="K24" s="29"/>
      <c r="L24" s="29"/>
      <c r="M24" s="29"/>
      <c r="N24" s="29"/>
      <c r="O24" s="29"/>
      <c r="P24" s="29"/>
      <c r="Q24" s="29"/>
      <c r="R24" s="29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1:38" x14ac:dyDescent="0.25">
      <c r="B25" t="s">
        <v>9</v>
      </c>
      <c r="C25">
        <v>1094.31</v>
      </c>
      <c r="D25" t="s">
        <v>38</v>
      </c>
    </row>
    <row r="26" spans="1:38" x14ac:dyDescent="0.25">
      <c r="B26" t="s">
        <v>10</v>
      </c>
      <c r="C26">
        <v>123.25</v>
      </c>
      <c r="D26" t="s">
        <v>38</v>
      </c>
    </row>
    <row r="27" spans="1:38" x14ac:dyDescent="0.25">
      <c r="B27" t="s">
        <v>11</v>
      </c>
      <c r="C27">
        <v>614.55999999999995</v>
      </c>
      <c r="D27" t="s">
        <v>38</v>
      </c>
    </row>
    <row r="28" spans="1:38" x14ac:dyDescent="0.25">
      <c r="B28" t="s">
        <v>12</v>
      </c>
      <c r="C28">
        <v>542.64</v>
      </c>
      <c r="D28" t="s">
        <v>38</v>
      </c>
    </row>
    <row r="29" spans="1:38" ht="15.75" thickBot="1" x14ac:dyDescent="0.3"/>
    <row r="30" spans="1:38" ht="15.75" thickBot="1" x14ac:dyDescent="0.3">
      <c r="K30" s="46" t="s">
        <v>60</v>
      </c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21"/>
      <c r="X30" s="22"/>
      <c r="Y30" s="46" t="s">
        <v>61</v>
      </c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</row>
    <row r="31" spans="1:38" ht="15.75" thickBot="1" x14ac:dyDescent="0.3">
      <c r="A31" s="9" t="s">
        <v>45</v>
      </c>
      <c r="K31" s="39" t="s">
        <v>25</v>
      </c>
      <c r="L31" s="40"/>
      <c r="M31" s="40"/>
      <c r="N31" s="40"/>
      <c r="O31" s="40"/>
      <c r="P31" s="40"/>
      <c r="Q31" s="41"/>
      <c r="R31" s="39" t="s">
        <v>26</v>
      </c>
      <c r="S31" s="40"/>
      <c r="T31" s="40"/>
      <c r="U31" s="40"/>
      <c r="V31" s="40"/>
      <c r="W31" s="40"/>
      <c r="X31" s="41"/>
      <c r="Y31" s="40" t="s">
        <v>25</v>
      </c>
      <c r="Z31" s="40"/>
      <c r="AA31" s="40"/>
      <c r="AB31" s="40"/>
      <c r="AC31" s="40"/>
      <c r="AD31" s="40"/>
      <c r="AE31" s="41"/>
      <c r="AF31" s="40" t="s">
        <v>26</v>
      </c>
      <c r="AG31" s="40"/>
      <c r="AH31" s="40"/>
      <c r="AI31" s="40"/>
      <c r="AJ31" s="40"/>
      <c r="AK31" s="40"/>
      <c r="AL31" s="41"/>
    </row>
    <row r="32" spans="1:38" ht="15.75" thickBot="1" x14ac:dyDescent="0.3">
      <c r="A32" s="9">
        <f>C11</f>
        <v>5946.81</v>
      </c>
      <c r="B32" s="13" t="s">
        <v>2</v>
      </c>
      <c r="C32" s="16" t="s">
        <v>18</v>
      </c>
      <c r="D32" s="16" t="s">
        <v>20</v>
      </c>
      <c r="E32" s="16" t="s">
        <v>22</v>
      </c>
      <c r="F32" s="16" t="s">
        <v>34</v>
      </c>
      <c r="G32" s="16" t="s">
        <v>35</v>
      </c>
      <c r="H32" s="16" t="s">
        <v>67</v>
      </c>
      <c r="I32" s="17" t="s">
        <v>23</v>
      </c>
      <c r="J32" s="16" t="s">
        <v>24</v>
      </c>
      <c r="K32" s="20" t="s">
        <v>28</v>
      </c>
      <c r="L32" s="18" t="s">
        <v>30</v>
      </c>
      <c r="M32" s="18" t="s">
        <v>31</v>
      </c>
      <c r="N32" s="18" t="s">
        <v>32</v>
      </c>
      <c r="O32" s="18" t="s">
        <v>29</v>
      </c>
      <c r="P32" s="18" t="s">
        <v>71</v>
      </c>
      <c r="Q32" s="19" t="s">
        <v>72</v>
      </c>
      <c r="R32" s="20" t="s">
        <v>28</v>
      </c>
      <c r="S32" s="18" t="s">
        <v>30</v>
      </c>
      <c r="T32" s="18" t="s">
        <v>31</v>
      </c>
      <c r="U32" s="18" t="s">
        <v>32</v>
      </c>
      <c r="V32" s="18" t="s">
        <v>29</v>
      </c>
      <c r="W32" s="18" t="s">
        <v>71</v>
      </c>
      <c r="X32" s="19" t="s">
        <v>72</v>
      </c>
      <c r="Y32" s="18" t="s">
        <v>28</v>
      </c>
      <c r="Z32" s="18" t="s">
        <v>30</v>
      </c>
      <c r="AA32" s="18" t="s">
        <v>31</v>
      </c>
      <c r="AB32" s="18" t="s">
        <v>32</v>
      </c>
      <c r="AC32" s="18" t="s">
        <v>29</v>
      </c>
      <c r="AD32" s="18" t="s">
        <v>71</v>
      </c>
      <c r="AE32" s="19" t="s">
        <v>72</v>
      </c>
      <c r="AF32" s="18" t="s">
        <v>28</v>
      </c>
      <c r="AG32" s="18" t="s">
        <v>30</v>
      </c>
      <c r="AH32" s="18" t="s">
        <v>31</v>
      </c>
      <c r="AI32" s="18" t="s">
        <v>32</v>
      </c>
      <c r="AJ32" s="18" t="s">
        <v>29</v>
      </c>
      <c r="AK32" s="18" t="s">
        <v>71</v>
      </c>
      <c r="AL32" s="19" t="s">
        <v>72</v>
      </c>
    </row>
    <row r="33" spans="1:38" x14ac:dyDescent="0.25">
      <c r="A33" s="10"/>
      <c r="B33" s="14"/>
      <c r="Q33" s="5"/>
      <c r="X33" s="5"/>
      <c r="AE33" s="5"/>
      <c r="AL33" s="5"/>
    </row>
    <row r="34" spans="1:38" x14ac:dyDescent="0.25">
      <c r="A34" s="10"/>
      <c r="B34" s="14"/>
      <c r="C34" t="s">
        <v>17</v>
      </c>
      <c r="D34" t="s">
        <v>17</v>
      </c>
      <c r="Q34" s="5"/>
      <c r="X34" s="5"/>
      <c r="AE34" s="5"/>
      <c r="AL34" s="5"/>
    </row>
    <row r="35" spans="1:38" ht="15.75" thickBot="1" x14ac:dyDescent="0.3">
      <c r="A35" s="11"/>
      <c r="B35" s="15"/>
      <c r="C35" s="2" t="s">
        <v>19</v>
      </c>
      <c r="D35" s="2" t="s">
        <v>21</v>
      </c>
      <c r="E35" s="2">
        <v>0.15</v>
      </c>
      <c r="F35" s="2">
        <v>259</v>
      </c>
      <c r="G35" s="2" t="s">
        <v>36</v>
      </c>
      <c r="H35" s="2">
        <v>30</v>
      </c>
      <c r="I35" s="6" t="s">
        <v>33</v>
      </c>
      <c r="J35" s="2" t="s">
        <v>15</v>
      </c>
      <c r="K35" s="2">
        <f>2010/25.74</f>
        <v>78.088578088578089</v>
      </c>
      <c r="L35" s="2">
        <f>0.00000000245/25.74</f>
        <v>9.5182595182595189E-11</v>
      </c>
      <c r="M35" s="2">
        <f>2.4/25.74</f>
        <v>9.3240093240093247E-2</v>
      </c>
      <c r="N35" s="2">
        <f>0.49/25.74</f>
        <v>1.9036519036519036E-2</v>
      </c>
      <c r="O35" s="2">
        <f>0.205/25.74</f>
        <v>7.964257964257964E-3</v>
      </c>
      <c r="P35" s="2">
        <f>23400/25.74</f>
        <v>909.09090909090912</v>
      </c>
      <c r="Q35" s="3">
        <f>8620/25.74</f>
        <v>334.88733488733493</v>
      </c>
      <c r="R35" s="2">
        <f>16.1/25.74</f>
        <v>0.62548562548562558</v>
      </c>
      <c r="S35" s="2">
        <f>0.00000000000152/25.74</f>
        <v>5.9052059052059052E-14</v>
      </c>
      <c r="T35" s="2">
        <f>0.0954/25.74</f>
        <v>3.7062937062937065E-3</v>
      </c>
      <c r="U35" s="2">
        <f>0.013/25.74</f>
        <v>5.0505050505050505E-4</v>
      </c>
      <c r="V35" s="2">
        <f>0.00751/25.74</f>
        <v>2.917637917637918E-4</v>
      </c>
      <c r="W35" s="2">
        <f>216/25.74</f>
        <v>8.3916083916083917</v>
      </c>
      <c r="X35" s="3">
        <f>25.2/25.74</f>
        <v>0.97902097902097907</v>
      </c>
      <c r="Y35" s="2">
        <f>$A$32*K35*2</f>
        <v>928755.87412587414</v>
      </c>
      <c r="Z35" s="2">
        <f>$A$32*L35*2</f>
        <v>1.1320656177156179E-6</v>
      </c>
      <c r="AA35" s="2">
        <f>$A$32*M35*2</f>
        <v>1108.9622377622379</v>
      </c>
      <c r="AB35" s="2">
        <f>$A$32*N35*2</f>
        <v>226.41312354312356</v>
      </c>
      <c r="AC35" s="2">
        <f>$A$32*O35*2</f>
        <v>94.723857808857815</v>
      </c>
      <c r="AD35" s="2">
        <f t="shared" ref="AD35:AE35" si="7">$A$32*P35*2</f>
        <v>10812381.818181818</v>
      </c>
      <c r="AE35" s="3">
        <f t="shared" si="7"/>
        <v>3983022.7039627046</v>
      </c>
      <c r="AF35" s="2">
        <f>$A$32*R35*2</f>
        <v>7439.2883449883466</v>
      </c>
      <c r="AG35" s="2">
        <f>$A$32*S35*2</f>
        <v>7.0234275058275063E-10</v>
      </c>
      <c r="AH35" s="2">
        <f>$A$32*T35*2</f>
        <v>44.081248951048956</v>
      </c>
      <c r="AI35" s="2">
        <f>$A$32*U35*2</f>
        <v>6.0068787878787884</v>
      </c>
      <c r="AJ35" s="2">
        <f>$A$32*V35*2</f>
        <v>3.4701276689976694</v>
      </c>
      <c r="AK35" s="2">
        <f t="shared" ref="AK35:AL35" si="8">$A$32*W35*2</f>
        <v>99806.6013986014</v>
      </c>
      <c r="AL35" s="3">
        <f t="shared" si="8"/>
        <v>11644.103496503498</v>
      </c>
    </row>
    <row r="36" spans="1:38" x14ac:dyDescent="0.25">
      <c r="A36" s="10"/>
    </row>
    <row r="37" spans="1:38" ht="15.75" thickBot="1" x14ac:dyDescent="0.3">
      <c r="A37" s="10"/>
    </row>
    <row r="38" spans="1:38" ht="15.75" thickBot="1" x14ac:dyDescent="0.3">
      <c r="A38" s="11"/>
      <c r="K38" s="39" t="s">
        <v>25</v>
      </c>
      <c r="L38" s="40"/>
      <c r="M38" s="40"/>
      <c r="N38" s="40"/>
      <c r="O38" s="40"/>
      <c r="P38" s="40"/>
      <c r="Q38" s="41"/>
      <c r="R38" s="39" t="s">
        <v>26</v>
      </c>
      <c r="S38" s="40"/>
      <c r="T38" s="40"/>
      <c r="U38" s="40"/>
      <c r="V38" s="40"/>
      <c r="W38" s="40"/>
      <c r="X38" s="41"/>
      <c r="Y38" s="42" t="s">
        <v>25</v>
      </c>
      <c r="Z38" s="42"/>
      <c r="AA38" s="42"/>
      <c r="AB38" s="42"/>
      <c r="AC38" s="42"/>
      <c r="AD38" s="7"/>
      <c r="AE38" s="8"/>
      <c r="AF38" s="40" t="s">
        <v>26</v>
      </c>
      <c r="AG38" s="40"/>
      <c r="AH38" s="40"/>
      <c r="AI38" s="40"/>
      <c r="AJ38" s="40"/>
      <c r="AK38" s="40"/>
      <c r="AL38" s="41"/>
    </row>
    <row r="39" spans="1:38" ht="15.75" thickBot="1" x14ac:dyDescent="0.3">
      <c r="A39" s="9">
        <f>C12</f>
        <v>909.37</v>
      </c>
      <c r="B39" s="13" t="s">
        <v>3</v>
      </c>
      <c r="C39" s="16" t="s">
        <v>18</v>
      </c>
      <c r="D39" s="16" t="s">
        <v>20</v>
      </c>
      <c r="E39" s="16" t="s">
        <v>22</v>
      </c>
      <c r="F39" s="16" t="s">
        <v>34</v>
      </c>
      <c r="G39" s="16" t="s">
        <v>35</v>
      </c>
      <c r="H39" s="16" t="s">
        <v>67</v>
      </c>
      <c r="I39" s="16" t="s">
        <v>23</v>
      </c>
      <c r="J39" s="17" t="s">
        <v>24</v>
      </c>
      <c r="K39" s="20" t="s">
        <v>28</v>
      </c>
      <c r="L39" s="18" t="s">
        <v>30</v>
      </c>
      <c r="M39" s="18" t="s">
        <v>31</v>
      </c>
      <c r="N39" s="18" t="s">
        <v>32</v>
      </c>
      <c r="O39" s="18" t="s">
        <v>29</v>
      </c>
      <c r="P39" s="18" t="s">
        <v>71</v>
      </c>
      <c r="Q39" s="19" t="s">
        <v>72</v>
      </c>
      <c r="R39" s="20" t="s">
        <v>28</v>
      </c>
      <c r="S39" s="18" t="s">
        <v>30</v>
      </c>
      <c r="T39" s="18" t="s">
        <v>31</v>
      </c>
      <c r="U39" s="18" t="s">
        <v>32</v>
      </c>
      <c r="V39" s="18" t="s">
        <v>29</v>
      </c>
      <c r="W39" s="18" t="s">
        <v>71</v>
      </c>
      <c r="X39" s="19" t="s">
        <v>72</v>
      </c>
      <c r="Y39" s="18" t="s">
        <v>28</v>
      </c>
      <c r="Z39" s="18" t="s">
        <v>30</v>
      </c>
      <c r="AA39" s="18" t="s">
        <v>31</v>
      </c>
      <c r="AB39" s="18" t="s">
        <v>32</v>
      </c>
      <c r="AC39" s="18" t="s">
        <v>29</v>
      </c>
      <c r="AD39" s="18" t="s">
        <v>71</v>
      </c>
      <c r="AE39" s="19" t="s">
        <v>72</v>
      </c>
      <c r="AF39" s="18" t="s">
        <v>28</v>
      </c>
      <c r="AG39" s="18" t="s">
        <v>30</v>
      </c>
      <c r="AH39" s="18" t="s">
        <v>31</v>
      </c>
      <c r="AI39" s="18" t="s">
        <v>32</v>
      </c>
      <c r="AJ39" s="18" t="s">
        <v>29</v>
      </c>
      <c r="AK39" s="18" t="s">
        <v>71</v>
      </c>
      <c r="AL39" s="19" t="s">
        <v>72</v>
      </c>
    </row>
    <row r="40" spans="1:38" x14ac:dyDescent="0.25">
      <c r="A40" s="10"/>
      <c r="B40" s="14"/>
      <c r="J40" s="5"/>
      <c r="Q40" s="5"/>
      <c r="X40" s="5"/>
      <c r="AE40" s="5"/>
      <c r="AL40" s="5"/>
    </row>
    <row r="41" spans="1:38" x14ac:dyDescent="0.25">
      <c r="A41" s="10"/>
      <c r="B41" s="14"/>
      <c r="C41" t="s">
        <v>17</v>
      </c>
      <c r="D41" t="s">
        <v>17</v>
      </c>
      <c r="J41" s="5"/>
      <c r="Q41" s="5"/>
      <c r="X41" s="5"/>
      <c r="AE41" s="5"/>
      <c r="AL41" s="5"/>
    </row>
    <row r="42" spans="1:38" ht="15.75" thickBot="1" x14ac:dyDescent="0.3">
      <c r="A42" s="11"/>
      <c r="B42" s="15"/>
      <c r="C42" s="2" t="s">
        <v>39</v>
      </c>
      <c r="D42" s="2" t="s">
        <v>40</v>
      </c>
      <c r="E42" s="2">
        <v>0.15</v>
      </c>
      <c r="F42" s="2">
        <v>15</v>
      </c>
      <c r="G42" s="2" t="s">
        <v>36</v>
      </c>
      <c r="H42" s="2">
        <v>30</v>
      </c>
      <c r="I42" s="6" t="s">
        <v>33</v>
      </c>
      <c r="J42" s="3" t="s">
        <v>27</v>
      </c>
      <c r="K42" s="2">
        <v>47</v>
      </c>
      <c r="L42" s="2">
        <v>0.71</v>
      </c>
      <c r="M42" s="2">
        <v>6.5799999999999997E-2</v>
      </c>
      <c r="N42" s="2">
        <v>1.9699999999999999E-2</v>
      </c>
      <c r="O42" s="2">
        <v>2.5700000000000002E-13</v>
      </c>
      <c r="P42" s="37">
        <v>23400</v>
      </c>
      <c r="Q42" s="37">
        <f>8620</f>
        <v>8620</v>
      </c>
      <c r="R42" s="2">
        <f>0.0453+50.4</f>
        <v>50.445299999999996</v>
      </c>
      <c r="S42" s="2">
        <f>0.0000332+0.0031</f>
        <v>3.1332E-3</v>
      </c>
      <c r="T42" s="2">
        <f>0.0000388+0.00675</f>
        <v>6.7888000000000002E-3</v>
      </c>
      <c r="U42" s="2">
        <f>0.000146+0.0316</f>
        <v>3.1746000000000003E-2</v>
      </c>
      <c r="V42" s="2">
        <v>7.5100000000000002E-3</v>
      </c>
      <c r="W42" s="37">
        <v>216</v>
      </c>
      <c r="X42" s="38">
        <v>25.2</v>
      </c>
      <c r="Y42" s="2">
        <f>K42*$E$42*$A$39*2</f>
        <v>12822.117</v>
      </c>
      <c r="Z42" s="2">
        <f>L42*$E$42*$A$39*2</f>
        <v>193.69580999999999</v>
      </c>
      <c r="AA42" s="2">
        <f>M42*$E$42*$A$39*2</f>
        <v>17.950963799999997</v>
      </c>
      <c r="AB42" s="2">
        <f>N42*$E$42*$A$39*2</f>
        <v>5.3743766999999991</v>
      </c>
      <c r="AC42" s="2">
        <f>O42*$E$42*$A$39*2</f>
        <v>7.0112427000000003E-11</v>
      </c>
      <c r="AD42" s="2">
        <f t="shared" ref="AD42:AE42" si="9">P42*$E$42*$A$39*2</f>
        <v>6383777.4000000004</v>
      </c>
      <c r="AE42" s="3">
        <f t="shared" si="9"/>
        <v>2351630.8199999998</v>
      </c>
      <c r="AF42" s="2">
        <f>R42*$E$42*$A$39*2</f>
        <v>13762.032738299999</v>
      </c>
      <c r="AG42" s="2">
        <f>S42*$E$42*$A$39*2</f>
        <v>0.85477142520000005</v>
      </c>
      <c r="AH42" s="2">
        <f>T42*$E$42*$A$39*2</f>
        <v>1.8520593168000001</v>
      </c>
      <c r="AI42" s="2">
        <f>U42*$E$42*$A$39*2</f>
        <v>8.6606580060000002</v>
      </c>
      <c r="AJ42" s="2">
        <f>V42*$E$42*$A$39*2</f>
        <v>2.0488106099999999</v>
      </c>
      <c r="AK42" s="2">
        <f t="shared" ref="AK42:AL42" si="10">W42*$E$42*$A$39*2</f>
        <v>58927.175999999999</v>
      </c>
      <c r="AL42" s="3">
        <f t="shared" si="10"/>
        <v>6874.8371999999999</v>
      </c>
    </row>
    <row r="43" spans="1:38" x14ac:dyDescent="0.25">
      <c r="A43" s="10"/>
    </row>
    <row r="44" spans="1:38" ht="15.75" thickBot="1" x14ac:dyDescent="0.3">
      <c r="A44" s="10"/>
    </row>
    <row r="45" spans="1:38" ht="15.75" thickBot="1" x14ac:dyDescent="0.3">
      <c r="A45" s="10"/>
      <c r="K45" s="39" t="s">
        <v>25</v>
      </c>
      <c r="L45" s="40"/>
      <c r="M45" s="40"/>
      <c r="N45" s="40"/>
      <c r="O45" s="40"/>
      <c r="P45" s="40"/>
      <c r="Q45" s="41"/>
      <c r="R45" s="39" t="s">
        <v>26</v>
      </c>
      <c r="S45" s="40"/>
      <c r="T45" s="40"/>
      <c r="U45" s="40"/>
      <c r="V45" s="40"/>
      <c r="W45" s="40"/>
      <c r="X45" s="41"/>
      <c r="Y45" s="42" t="s">
        <v>25</v>
      </c>
      <c r="Z45" s="42"/>
      <c r="AA45" s="42"/>
      <c r="AB45" s="42"/>
      <c r="AC45" s="42"/>
      <c r="AD45" s="7"/>
      <c r="AE45" s="8"/>
      <c r="AF45" s="39" t="s">
        <v>26</v>
      </c>
      <c r="AG45" s="40"/>
      <c r="AH45" s="40"/>
      <c r="AI45" s="40"/>
      <c r="AJ45" s="40"/>
      <c r="AK45" s="40"/>
      <c r="AL45" s="41"/>
    </row>
    <row r="46" spans="1:38" ht="15.75" thickBot="1" x14ac:dyDescent="0.3">
      <c r="A46" s="9">
        <f>C13</f>
        <v>155.91</v>
      </c>
      <c r="B46" s="13" t="s">
        <v>4</v>
      </c>
      <c r="C46" s="16" t="s">
        <v>18</v>
      </c>
      <c r="D46" s="16" t="s">
        <v>20</v>
      </c>
      <c r="E46" s="16" t="s">
        <v>22</v>
      </c>
      <c r="F46" s="16" t="s">
        <v>34</v>
      </c>
      <c r="G46" s="16" t="s">
        <v>35</v>
      </c>
      <c r="H46" s="16" t="s">
        <v>67</v>
      </c>
      <c r="I46" s="16" t="s">
        <v>23</v>
      </c>
      <c r="J46" s="17" t="s">
        <v>24</v>
      </c>
      <c r="K46" s="20" t="s">
        <v>28</v>
      </c>
      <c r="L46" s="18" t="s">
        <v>30</v>
      </c>
      <c r="M46" s="18" t="s">
        <v>31</v>
      </c>
      <c r="N46" s="18" t="s">
        <v>32</v>
      </c>
      <c r="O46" s="18" t="s">
        <v>29</v>
      </c>
      <c r="P46" s="18" t="s">
        <v>71</v>
      </c>
      <c r="Q46" s="19" t="s">
        <v>72</v>
      </c>
      <c r="R46" s="20" t="s">
        <v>28</v>
      </c>
      <c r="S46" s="18" t="s">
        <v>30</v>
      </c>
      <c r="T46" s="18" t="s">
        <v>31</v>
      </c>
      <c r="U46" s="18" t="s">
        <v>32</v>
      </c>
      <c r="V46" s="18" t="s">
        <v>29</v>
      </c>
      <c r="W46" s="18" t="s">
        <v>71</v>
      </c>
      <c r="X46" s="19" t="s">
        <v>72</v>
      </c>
      <c r="Y46" s="18" t="s">
        <v>28</v>
      </c>
      <c r="Z46" s="18" t="s">
        <v>30</v>
      </c>
      <c r="AA46" s="18" t="s">
        <v>31</v>
      </c>
      <c r="AB46" s="18" t="s">
        <v>32</v>
      </c>
      <c r="AC46" s="18" t="s">
        <v>29</v>
      </c>
      <c r="AD46" s="18" t="s">
        <v>71</v>
      </c>
      <c r="AE46" s="19" t="s">
        <v>72</v>
      </c>
      <c r="AF46" s="20" t="s">
        <v>28</v>
      </c>
      <c r="AG46" s="18" t="s">
        <v>30</v>
      </c>
      <c r="AH46" s="18" t="s">
        <v>31</v>
      </c>
      <c r="AI46" s="18" t="s">
        <v>32</v>
      </c>
      <c r="AJ46" s="18" t="s">
        <v>29</v>
      </c>
      <c r="AK46" s="18" t="s">
        <v>71</v>
      </c>
      <c r="AL46" s="19" t="s">
        <v>72</v>
      </c>
    </row>
    <row r="47" spans="1:38" x14ac:dyDescent="0.25">
      <c r="A47" s="10"/>
      <c r="B47" s="14"/>
      <c r="J47" s="5"/>
      <c r="Q47" s="5"/>
      <c r="X47" s="5"/>
      <c r="AE47" s="5"/>
      <c r="AF47" s="4"/>
      <c r="AL47" s="5"/>
    </row>
    <row r="48" spans="1:38" ht="15.75" thickBot="1" x14ac:dyDescent="0.3">
      <c r="A48" s="11"/>
      <c r="B48" s="15"/>
      <c r="C48" s="2" t="s">
        <v>42</v>
      </c>
      <c r="D48" s="2" t="s">
        <v>44</v>
      </c>
      <c r="E48" s="2"/>
      <c r="F48" s="2">
        <v>45.9</v>
      </c>
      <c r="G48" s="2" t="s">
        <v>43</v>
      </c>
      <c r="H48" s="2">
        <v>30</v>
      </c>
      <c r="I48" s="6" t="s">
        <v>41</v>
      </c>
      <c r="J48" s="3" t="s">
        <v>15</v>
      </c>
      <c r="K48" s="2">
        <v>-20.521000000000001</v>
      </c>
      <c r="L48" s="2">
        <v>2.1999999999999999E-2</v>
      </c>
      <c r="M48" s="2">
        <v>0.112</v>
      </c>
      <c r="N48" s="2">
        <v>5.1999999999999998E-2</v>
      </c>
      <c r="O48" s="2">
        <v>2.3300000000000001E-6</v>
      </c>
      <c r="P48" s="2">
        <v>408.52800000000002</v>
      </c>
      <c r="Q48" s="3">
        <v>536.13300000000004</v>
      </c>
      <c r="R48" s="2">
        <v>73.792000000000002</v>
      </c>
      <c r="S48" s="2">
        <v>0</v>
      </c>
      <c r="T48" s="2">
        <v>3.0000000000000001E-3</v>
      </c>
      <c r="U48" s="2">
        <v>3.0000000000000001E-3</v>
      </c>
      <c r="V48" s="2">
        <v>1.3E-7</v>
      </c>
      <c r="W48" s="2"/>
      <c r="X48" s="3"/>
      <c r="Y48" s="2">
        <f>K48*$A$46*2</f>
        <v>-6398.8582200000001</v>
      </c>
      <c r="Z48" s="2">
        <f>L48*$A$46*2</f>
        <v>6.8600399999999997</v>
      </c>
      <c r="AA48" s="2">
        <f>M48*$A$46*2</f>
        <v>34.923839999999998</v>
      </c>
      <c r="AB48" s="2">
        <f>N48*$A$46*2</f>
        <v>16.214639999999999</v>
      </c>
      <c r="AC48" s="2">
        <f>O48*$A$46*2</f>
        <v>7.2654060000000001E-4</v>
      </c>
      <c r="AD48" s="2">
        <f t="shared" ref="AD48:AE48" si="11">P48*$A$46*2</f>
        <v>127387.20096</v>
      </c>
      <c r="AE48" s="2">
        <f t="shared" si="11"/>
        <v>167176.99206000002</v>
      </c>
      <c r="AF48" s="36">
        <f>R48*$A$46*2</f>
        <v>23009.82144</v>
      </c>
      <c r="AG48" s="2">
        <f>S48*$A$46*2</f>
        <v>0</v>
      </c>
      <c r="AH48" s="2">
        <f>T48*$A$46*2</f>
        <v>0.93545999999999996</v>
      </c>
      <c r="AI48" s="2">
        <f>U48*$A$46*2</f>
        <v>0.93545999999999996</v>
      </c>
      <c r="AJ48" s="2">
        <f>V48*$A$46*2</f>
        <v>4.0536600000000001E-5</v>
      </c>
      <c r="AK48" s="2">
        <f t="shared" ref="AK48:AL48" si="12">W48*$A$46*2</f>
        <v>0</v>
      </c>
      <c r="AL48" s="3">
        <f t="shared" si="12"/>
        <v>0</v>
      </c>
    </row>
    <row r="49" spans="1:38" x14ac:dyDescent="0.25">
      <c r="A49" s="10"/>
      <c r="I49" s="1"/>
    </row>
    <row r="50" spans="1:38" x14ac:dyDescent="0.25">
      <c r="A50" s="10"/>
    </row>
    <row r="51" spans="1:38" ht="15.75" thickBot="1" x14ac:dyDescent="0.3">
      <c r="A51" s="10"/>
    </row>
    <row r="52" spans="1:38" ht="15.75" thickBot="1" x14ac:dyDescent="0.3">
      <c r="A52" s="10"/>
      <c r="K52" s="39" t="s">
        <v>25</v>
      </c>
      <c r="L52" s="40"/>
      <c r="M52" s="40"/>
      <c r="N52" s="40"/>
      <c r="O52" s="40"/>
      <c r="P52" s="40"/>
      <c r="Q52" s="41"/>
      <c r="R52" s="39" t="s">
        <v>26</v>
      </c>
      <c r="S52" s="40"/>
      <c r="T52" s="40"/>
      <c r="U52" s="40"/>
      <c r="V52" s="40"/>
      <c r="W52" s="40"/>
      <c r="X52" s="41"/>
      <c r="Y52" s="42" t="s">
        <v>25</v>
      </c>
      <c r="Z52" s="42"/>
      <c r="AA52" s="42"/>
      <c r="AB52" s="42"/>
      <c r="AC52" s="42"/>
      <c r="AD52" s="7"/>
      <c r="AE52" s="8"/>
      <c r="AF52" s="39" t="s">
        <v>26</v>
      </c>
      <c r="AG52" s="40"/>
      <c r="AH52" s="40"/>
      <c r="AI52" s="40"/>
      <c r="AJ52" s="40"/>
      <c r="AK52" s="40"/>
      <c r="AL52" s="41"/>
    </row>
    <row r="53" spans="1:38" ht="15.75" thickBot="1" x14ac:dyDescent="0.3">
      <c r="A53" s="9">
        <f>C14</f>
        <v>788.73</v>
      </c>
      <c r="B53" s="13" t="s">
        <v>13</v>
      </c>
      <c r="C53" s="16" t="s">
        <v>18</v>
      </c>
      <c r="D53" s="16" t="s">
        <v>20</v>
      </c>
      <c r="E53" s="16" t="s">
        <v>22</v>
      </c>
      <c r="F53" s="16" t="s">
        <v>34</v>
      </c>
      <c r="G53" s="16" t="s">
        <v>35</v>
      </c>
      <c r="H53" s="16" t="s">
        <v>67</v>
      </c>
      <c r="I53" s="16" t="s">
        <v>23</v>
      </c>
      <c r="J53" s="17" t="s">
        <v>24</v>
      </c>
      <c r="K53" s="20" t="s">
        <v>28</v>
      </c>
      <c r="L53" s="18" t="s">
        <v>30</v>
      </c>
      <c r="M53" s="18" t="s">
        <v>31</v>
      </c>
      <c r="N53" s="18" t="s">
        <v>32</v>
      </c>
      <c r="O53" s="18" t="s">
        <v>29</v>
      </c>
      <c r="P53" s="18" t="s">
        <v>71</v>
      </c>
      <c r="Q53" s="19" t="s">
        <v>72</v>
      </c>
      <c r="R53" s="20" t="s">
        <v>28</v>
      </c>
      <c r="S53" s="18" t="s">
        <v>30</v>
      </c>
      <c r="T53" s="18" t="s">
        <v>31</v>
      </c>
      <c r="U53" s="18" t="s">
        <v>32</v>
      </c>
      <c r="V53" s="18" t="s">
        <v>29</v>
      </c>
      <c r="W53" s="18" t="s">
        <v>71</v>
      </c>
      <c r="X53" s="19" t="s">
        <v>72</v>
      </c>
      <c r="Y53" s="18" t="s">
        <v>28</v>
      </c>
      <c r="Z53" s="18" t="s">
        <v>30</v>
      </c>
      <c r="AA53" s="18" t="s">
        <v>31</v>
      </c>
      <c r="AB53" s="18" t="s">
        <v>32</v>
      </c>
      <c r="AC53" s="18" t="s">
        <v>29</v>
      </c>
      <c r="AD53" s="18" t="s">
        <v>71</v>
      </c>
      <c r="AE53" s="19" t="s">
        <v>72</v>
      </c>
      <c r="AF53" s="20" t="s">
        <v>28</v>
      </c>
      <c r="AG53" s="18" t="s">
        <v>30</v>
      </c>
      <c r="AH53" s="18" t="s">
        <v>31</v>
      </c>
      <c r="AI53" s="18" t="s">
        <v>32</v>
      </c>
      <c r="AJ53" s="18" t="s">
        <v>29</v>
      </c>
      <c r="AK53" s="18" t="s">
        <v>71</v>
      </c>
      <c r="AL53" s="19" t="s">
        <v>72</v>
      </c>
    </row>
    <row r="54" spans="1:38" x14ac:dyDescent="0.25">
      <c r="A54" s="10"/>
      <c r="B54" s="14"/>
      <c r="J54" s="5"/>
      <c r="Q54" s="5"/>
      <c r="X54" s="5"/>
      <c r="AE54" s="5"/>
      <c r="AF54" s="4"/>
      <c r="AL54" s="5"/>
    </row>
    <row r="55" spans="1:38" ht="15.75" thickBot="1" x14ac:dyDescent="0.3">
      <c r="A55" s="11"/>
      <c r="B55" s="15"/>
      <c r="C55" s="2" t="s">
        <v>42</v>
      </c>
      <c r="D55" s="2" t="s">
        <v>44</v>
      </c>
      <c r="E55" s="2"/>
      <c r="F55" s="2">
        <v>45.9</v>
      </c>
      <c r="G55" s="2" t="s">
        <v>43</v>
      </c>
      <c r="H55" s="2">
        <v>30</v>
      </c>
      <c r="I55" s="6" t="s">
        <v>41</v>
      </c>
      <c r="J55" s="3" t="s">
        <v>15</v>
      </c>
      <c r="K55" s="2">
        <v>-20.521000000000001</v>
      </c>
      <c r="L55" s="2">
        <v>2.1999999999999999E-2</v>
      </c>
      <c r="M55" s="2">
        <v>0.112</v>
      </c>
      <c r="N55" s="2">
        <v>5.1999999999999998E-2</v>
      </c>
      <c r="O55" s="2">
        <v>2.3300000000000001E-6</v>
      </c>
      <c r="P55" s="2">
        <v>408.52800000000002</v>
      </c>
      <c r="Q55" s="3">
        <v>536.13300000000004</v>
      </c>
      <c r="R55" s="2">
        <v>73.792000000000002</v>
      </c>
      <c r="S55" s="2">
        <v>0</v>
      </c>
      <c r="T55" s="2">
        <v>3.0000000000000001E-3</v>
      </c>
      <c r="U55" s="2">
        <v>3.0000000000000001E-3</v>
      </c>
      <c r="V55" s="2">
        <v>1.3E-7</v>
      </c>
      <c r="W55" s="2"/>
      <c r="X55" s="3"/>
      <c r="Y55" s="2">
        <f>K55*$A$53*2</f>
        <v>-32371.056660000002</v>
      </c>
      <c r="Z55" s="2">
        <f>L55*$A$53*2</f>
        <v>34.704119999999996</v>
      </c>
      <c r="AA55" s="2">
        <f>M55*$A$53*2</f>
        <v>176.67552000000001</v>
      </c>
      <c r="AB55" s="2">
        <f>N55*$A$53*2</f>
        <v>82.027919999999995</v>
      </c>
      <c r="AC55" s="2">
        <f>O55*$A$53*2</f>
        <v>3.6754818000000002E-3</v>
      </c>
      <c r="AD55" s="2">
        <f t="shared" ref="AD55:AE55" si="13">P55*$A$53*2</f>
        <v>644436.57888000004</v>
      </c>
      <c r="AE55" s="2">
        <f t="shared" si="13"/>
        <v>845728.36218000005</v>
      </c>
      <c r="AF55" s="36">
        <f>R55*$A$53*2</f>
        <v>116403.92832000001</v>
      </c>
      <c r="AG55" s="2">
        <f>S55*$A$53*2</f>
        <v>0</v>
      </c>
      <c r="AH55" s="2">
        <f>T55*$A$53*2</f>
        <v>4.73238</v>
      </c>
      <c r="AI55" s="2">
        <f>U55*$A$53*2</f>
        <v>4.73238</v>
      </c>
      <c r="AJ55" s="2">
        <f>V55*$A$53*2</f>
        <v>2.050698E-4</v>
      </c>
      <c r="AK55" s="2">
        <f t="shared" ref="AK55:AL55" si="14">W55*$A$53*2</f>
        <v>0</v>
      </c>
      <c r="AL55" s="3">
        <f t="shared" si="14"/>
        <v>0</v>
      </c>
    </row>
    <row r="56" spans="1:38" x14ac:dyDescent="0.25">
      <c r="A56" s="10"/>
    </row>
    <row r="57" spans="1:38" x14ac:dyDescent="0.25">
      <c r="A57" s="10"/>
    </row>
    <row r="58" spans="1:38" ht="15.75" thickBot="1" x14ac:dyDescent="0.3">
      <c r="A58" s="10"/>
    </row>
    <row r="59" spans="1:38" ht="15.75" thickBot="1" x14ac:dyDescent="0.3">
      <c r="A59" s="10"/>
      <c r="K59" s="39" t="s">
        <v>25</v>
      </c>
      <c r="L59" s="40"/>
      <c r="M59" s="40"/>
      <c r="N59" s="40"/>
      <c r="O59" s="40"/>
      <c r="P59" s="40"/>
      <c r="Q59" s="41"/>
      <c r="R59" s="39" t="s">
        <v>26</v>
      </c>
      <c r="S59" s="40"/>
      <c r="T59" s="40"/>
      <c r="U59" s="40"/>
      <c r="V59" s="40"/>
      <c r="W59" s="40"/>
      <c r="X59" s="41"/>
      <c r="Y59" s="42" t="s">
        <v>25</v>
      </c>
      <c r="Z59" s="42"/>
      <c r="AA59" s="42"/>
      <c r="AB59" s="42"/>
      <c r="AC59" s="42"/>
      <c r="AD59" s="7"/>
      <c r="AE59" s="8"/>
      <c r="AF59" s="39" t="s">
        <v>26</v>
      </c>
      <c r="AG59" s="40"/>
      <c r="AH59" s="40"/>
      <c r="AI59" s="40"/>
      <c r="AJ59" s="40"/>
      <c r="AK59" s="40"/>
      <c r="AL59" s="41"/>
    </row>
    <row r="60" spans="1:38" ht="15.75" thickBot="1" x14ac:dyDescent="0.3">
      <c r="A60" s="9">
        <f>C17</f>
        <v>2074.42</v>
      </c>
      <c r="B60" s="13" t="s">
        <v>5</v>
      </c>
      <c r="C60" s="16" t="s">
        <v>18</v>
      </c>
      <c r="D60" s="16" t="s">
        <v>20</v>
      </c>
      <c r="E60" s="16" t="s">
        <v>22</v>
      </c>
      <c r="F60" s="16" t="s">
        <v>34</v>
      </c>
      <c r="G60" s="16" t="s">
        <v>35</v>
      </c>
      <c r="H60" s="16" t="s">
        <v>67</v>
      </c>
      <c r="I60" s="16" t="s">
        <v>23</v>
      </c>
      <c r="J60" s="17" t="s">
        <v>24</v>
      </c>
      <c r="K60" s="20" t="s">
        <v>28</v>
      </c>
      <c r="L60" s="18" t="s">
        <v>30</v>
      </c>
      <c r="M60" s="18" t="s">
        <v>31</v>
      </c>
      <c r="N60" s="18" t="s">
        <v>32</v>
      </c>
      <c r="O60" s="18" t="s">
        <v>29</v>
      </c>
      <c r="P60" s="18" t="s">
        <v>71</v>
      </c>
      <c r="Q60" s="19" t="s">
        <v>72</v>
      </c>
      <c r="R60" s="20" t="s">
        <v>28</v>
      </c>
      <c r="S60" s="18" t="s">
        <v>30</v>
      </c>
      <c r="T60" s="18" t="s">
        <v>31</v>
      </c>
      <c r="U60" s="18" t="s">
        <v>32</v>
      </c>
      <c r="V60" s="18" t="s">
        <v>29</v>
      </c>
      <c r="W60" s="18" t="s">
        <v>71</v>
      </c>
      <c r="X60" s="19" t="s">
        <v>72</v>
      </c>
      <c r="Y60" s="18" t="s">
        <v>28</v>
      </c>
      <c r="Z60" s="18" t="s">
        <v>30</v>
      </c>
      <c r="AA60" s="18" t="s">
        <v>31</v>
      </c>
      <c r="AB60" s="18" t="s">
        <v>32</v>
      </c>
      <c r="AC60" s="18" t="s">
        <v>29</v>
      </c>
      <c r="AD60" s="18" t="s">
        <v>71</v>
      </c>
      <c r="AE60" s="19" t="s">
        <v>72</v>
      </c>
      <c r="AF60" s="20" t="s">
        <v>28</v>
      </c>
      <c r="AG60" s="18" t="s">
        <v>30</v>
      </c>
      <c r="AH60" s="18" t="s">
        <v>31</v>
      </c>
      <c r="AI60" s="18" t="s">
        <v>32</v>
      </c>
      <c r="AJ60" s="18" t="s">
        <v>29</v>
      </c>
      <c r="AK60" s="18" t="s">
        <v>71</v>
      </c>
      <c r="AL60" s="19" t="s">
        <v>72</v>
      </c>
    </row>
    <row r="61" spans="1:38" x14ac:dyDescent="0.25">
      <c r="A61" s="10"/>
      <c r="B61" s="14"/>
      <c r="J61" s="5"/>
      <c r="Q61" s="5"/>
      <c r="X61" s="5"/>
      <c r="AE61" s="5"/>
      <c r="AF61" s="4"/>
      <c r="AL61" s="5"/>
    </row>
    <row r="62" spans="1:38" ht="15.75" thickBot="1" x14ac:dyDescent="0.3">
      <c r="A62" s="11"/>
      <c r="B62" s="15"/>
      <c r="C62" s="2" t="s">
        <v>42</v>
      </c>
      <c r="D62" s="2" t="s">
        <v>44</v>
      </c>
      <c r="E62" s="2"/>
      <c r="F62" s="2">
        <v>53.5</v>
      </c>
      <c r="G62" s="2" t="s">
        <v>43</v>
      </c>
      <c r="H62" s="2">
        <v>30</v>
      </c>
      <c r="I62" s="6" t="s">
        <v>46</v>
      </c>
      <c r="J62" s="3" t="s">
        <v>15</v>
      </c>
      <c r="K62" s="2">
        <v>-34.598999999999997</v>
      </c>
      <c r="L62" s="2">
        <v>0.02</v>
      </c>
      <c r="M62" s="2">
        <v>0.158</v>
      </c>
      <c r="N62" s="2">
        <v>2.1999999999999999E-2</v>
      </c>
      <c r="O62" s="2">
        <v>1.39E-6</v>
      </c>
      <c r="P62" s="2">
        <v>577.65200000000004</v>
      </c>
      <c r="Q62" s="3">
        <v>997.12400000000002</v>
      </c>
      <c r="R62" s="2">
        <v>73.792000000000002</v>
      </c>
      <c r="S62" s="2">
        <v>0</v>
      </c>
      <c r="T62" s="2">
        <v>3.0000000000000001E-3</v>
      </c>
      <c r="U62" s="2">
        <v>3.0000000000000001E-3</v>
      </c>
      <c r="V62" s="2">
        <v>1.3E-7</v>
      </c>
      <c r="W62" s="2">
        <v>13.178000000000001</v>
      </c>
      <c r="X62" s="3">
        <v>-760.89099999999996</v>
      </c>
      <c r="Y62" s="2">
        <f>K62*$A$60*2</f>
        <v>-143545.71515999999</v>
      </c>
      <c r="Z62" s="2">
        <f>L62*$A$60*2</f>
        <v>82.976800000000011</v>
      </c>
      <c r="AA62" s="2">
        <f>M62*$A$60*2</f>
        <v>655.51672000000008</v>
      </c>
      <c r="AB62" s="2">
        <f>N62*$A$60*2</f>
        <v>91.274479999999997</v>
      </c>
      <c r="AC62" s="2">
        <f>O62*$A$60*2</f>
        <v>5.7668876000000003E-3</v>
      </c>
      <c r="AD62" s="2">
        <f t="shared" ref="AD62:AE62" si="15">P62*$A$60*2</f>
        <v>2396585.7236800003</v>
      </c>
      <c r="AE62" s="2">
        <f t="shared" si="15"/>
        <v>4136907.93616</v>
      </c>
      <c r="AF62" s="36">
        <f>R62*$A$60*2</f>
        <v>306151.20128000004</v>
      </c>
      <c r="AG62" s="2">
        <f>S62*$A$60*2</f>
        <v>0</v>
      </c>
      <c r="AH62" s="2">
        <f>T62*$A$60*2</f>
        <v>12.446520000000001</v>
      </c>
      <c r="AI62" s="2">
        <f>U62*$A$60*2</f>
        <v>12.446520000000001</v>
      </c>
      <c r="AJ62" s="2">
        <f>V62*$A$60*2</f>
        <v>5.3934920000000002E-4</v>
      </c>
      <c r="AK62" s="2">
        <f t="shared" ref="AK62:AL62" si="16">W62*$A$60*2</f>
        <v>54673.413520000002</v>
      </c>
      <c r="AL62" s="3">
        <f t="shared" si="16"/>
        <v>-3156815.0164399999</v>
      </c>
    </row>
    <row r="63" spans="1:38" x14ac:dyDescent="0.25">
      <c r="A63" s="10"/>
    </row>
    <row r="64" spans="1:38" x14ac:dyDescent="0.25">
      <c r="A64" s="10"/>
    </row>
    <row r="65" spans="1:38" ht="15.75" thickBot="1" x14ac:dyDescent="0.3">
      <c r="A65" s="10"/>
    </row>
    <row r="66" spans="1:38" ht="15.75" thickBot="1" x14ac:dyDescent="0.3">
      <c r="A66" s="10"/>
      <c r="K66" s="39" t="s">
        <v>25</v>
      </c>
      <c r="L66" s="40"/>
      <c r="M66" s="40"/>
      <c r="N66" s="40"/>
      <c r="O66" s="40"/>
      <c r="P66" s="40"/>
      <c r="Q66" s="41"/>
      <c r="R66" s="39" t="s">
        <v>26</v>
      </c>
      <c r="S66" s="40"/>
      <c r="T66" s="40"/>
      <c r="U66" s="40"/>
      <c r="V66" s="40"/>
      <c r="W66" s="40"/>
      <c r="X66" s="41"/>
      <c r="Y66" s="42" t="s">
        <v>25</v>
      </c>
      <c r="Z66" s="42"/>
      <c r="AA66" s="42"/>
      <c r="AB66" s="42"/>
      <c r="AC66" s="42"/>
      <c r="AD66" s="7"/>
      <c r="AE66" s="8"/>
      <c r="AF66" s="39" t="s">
        <v>26</v>
      </c>
      <c r="AG66" s="40"/>
      <c r="AH66" s="40"/>
      <c r="AI66" s="40"/>
      <c r="AJ66" s="40"/>
      <c r="AK66" s="40"/>
      <c r="AL66" s="41"/>
    </row>
    <row r="67" spans="1:38" ht="15.75" thickBot="1" x14ac:dyDescent="0.3">
      <c r="A67" s="9">
        <f>C19</f>
        <v>931.71</v>
      </c>
      <c r="B67" s="13" t="s">
        <v>14</v>
      </c>
      <c r="C67" s="16" t="s">
        <v>18</v>
      </c>
      <c r="D67" s="16" t="s">
        <v>20</v>
      </c>
      <c r="E67" s="16" t="s">
        <v>22</v>
      </c>
      <c r="F67" s="16" t="s">
        <v>34</v>
      </c>
      <c r="G67" s="16" t="s">
        <v>35</v>
      </c>
      <c r="H67" s="16" t="s">
        <v>67</v>
      </c>
      <c r="I67" s="16" t="s">
        <v>23</v>
      </c>
      <c r="J67" s="17" t="s">
        <v>24</v>
      </c>
      <c r="K67" s="20" t="s">
        <v>28</v>
      </c>
      <c r="L67" s="18" t="s">
        <v>30</v>
      </c>
      <c r="M67" s="18" t="s">
        <v>31</v>
      </c>
      <c r="N67" s="18" t="s">
        <v>32</v>
      </c>
      <c r="O67" s="18" t="s">
        <v>29</v>
      </c>
      <c r="P67" s="18" t="s">
        <v>71</v>
      </c>
      <c r="Q67" s="19" t="s">
        <v>72</v>
      </c>
      <c r="R67" s="20" t="s">
        <v>28</v>
      </c>
      <c r="S67" s="18" t="s">
        <v>30</v>
      </c>
      <c r="T67" s="18" t="s">
        <v>31</v>
      </c>
      <c r="U67" s="18" t="s">
        <v>32</v>
      </c>
      <c r="V67" s="18" t="s">
        <v>29</v>
      </c>
      <c r="W67" s="18" t="s">
        <v>71</v>
      </c>
      <c r="X67" s="19" t="s">
        <v>72</v>
      </c>
      <c r="Y67" s="18" t="s">
        <v>28</v>
      </c>
      <c r="Z67" s="18" t="s">
        <v>30</v>
      </c>
      <c r="AA67" s="18" t="s">
        <v>31</v>
      </c>
      <c r="AB67" s="18" t="s">
        <v>32</v>
      </c>
      <c r="AC67" s="18" t="s">
        <v>29</v>
      </c>
      <c r="AD67" s="18" t="s">
        <v>71</v>
      </c>
      <c r="AE67" s="19" t="s">
        <v>72</v>
      </c>
      <c r="AF67" s="18" t="s">
        <v>28</v>
      </c>
      <c r="AG67" s="18" t="s">
        <v>30</v>
      </c>
      <c r="AH67" s="18" t="s">
        <v>31</v>
      </c>
      <c r="AI67" s="18" t="s">
        <v>32</v>
      </c>
      <c r="AJ67" s="18" t="s">
        <v>29</v>
      </c>
      <c r="AK67" s="18" t="s">
        <v>71</v>
      </c>
      <c r="AL67" s="19" t="s">
        <v>72</v>
      </c>
    </row>
    <row r="68" spans="1:38" x14ac:dyDescent="0.25">
      <c r="A68" s="10"/>
      <c r="B68" s="14"/>
      <c r="J68" s="5"/>
      <c r="Q68" s="5"/>
      <c r="X68" s="5"/>
      <c r="AE68" s="5"/>
      <c r="AL68" s="5"/>
    </row>
    <row r="69" spans="1:38" x14ac:dyDescent="0.25">
      <c r="A69" s="10"/>
      <c r="B69" s="14"/>
      <c r="C69" t="s">
        <v>17</v>
      </c>
      <c r="J69" s="5"/>
      <c r="Q69" s="5"/>
      <c r="X69" s="5"/>
      <c r="AE69" s="5"/>
      <c r="AL69" s="5"/>
    </row>
    <row r="70" spans="1:38" ht="15.75" thickBot="1" x14ac:dyDescent="0.3">
      <c r="A70" s="11"/>
      <c r="B70" s="15"/>
      <c r="C70" s="2" t="s">
        <v>48</v>
      </c>
      <c r="D70" s="2" t="s">
        <v>44</v>
      </c>
      <c r="E70" s="2">
        <v>0.12</v>
      </c>
      <c r="F70" s="2">
        <v>32</v>
      </c>
      <c r="G70" s="2" t="s">
        <v>43</v>
      </c>
      <c r="H70" s="2">
        <v>30</v>
      </c>
      <c r="I70" s="6" t="s">
        <v>49</v>
      </c>
      <c r="J70" s="3" t="s">
        <v>15</v>
      </c>
      <c r="K70" s="2">
        <v>13.8</v>
      </c>
      <c r="L70" s="2">
        <v>5.0000000000000002E-5</v>
      </c>
      <c r="M70" s="2">
        <v>3.1699999999999999E-2</v>
      </c>
      <c r="N70" s="2">
        <v>3.7200000000000002E-3</v>
      </c>
      <c r="O70" s="2">
        <v>1.4500000000000001E-2</v>
      </c>
      <c r="P70" s="37">
        <v>311</v>
      </c>
      <c r="Q70" s="38">
        <v>34.4</v>
      </c>
      <c r="R70" s="2">
        <f>0.0842+8.6</f>
        <v>8.6841999999999988</v>
      </c>
      <c r="S70" s="2">
        <f>-0.00000111+0.000229</f>
        <v>2.2789000000000002E-4</v>
      </c>
      <c r="T70" s="2">
        <f>0.0000682+0.00356</f>
        <v>3.6281999999999998E-3</v>
      </c>
      <c r="U70" s="2">
        <f>0.0000127+0.000887</f>
        <v>8.9970000000000002E-4</v>
      </c>
      <c r="V70" s="2">
        <f>0.0000000000000000139+0.00000000000000408</f>
        <v>4.0938999999999997E-15</v>
      </c>
      <c r="W70" s="2">
        <f>1.15+3.91</f>
        <v>5.0600000000000005</v>
      </c>
      <c r="X70" s="3">
        <f>0.0647+1.04</f>
        <v>1.1047</v>
      </c>
      <c r="Y70" s="2">
        <f>K70*$A$67*2</f>
        <v>25715.196000000004</v>
      </c>
      <c r="Z70" s="2">
        <f>L70*$A$67*2</f>
        <v>9.3171000000000004E-2</v>
      </c>
      <c r="AA70" s="2">
        <f>M70*$A$67*2</f>
        <v>59.070414</v>
      </c>
      <c r="AB70" s="2">
        <f>N70*$A$67*2</f>
        <v>6.9319224000000004</v>
      </c>
      <c r="AC70" s="2">
        <f>O70*$A$67*2</f>
        <v>27.019590000000001</v>
      </c>
      <c r="AD70" s="2">
        <f t="shared" ref="AD70:AE70" si="17">P70*$A$67*2</f>
        <v>579523.62</v>
      </c>
      <c r="AE70" s="3">
        <f t="shared" si="17"/>
        <v>64101.648000000001</v>
      </c>
      <c r="AF70" s="2">
        <f>R70*$A$67*2</f>
        <v>16182.311963999999</v>
      </c>
      <c r="AG70" s="2">
        <f>S70*$A$67*2</f>
        <v>0.42465478380000005</v>
      </c>
      <c r="AH70" s="2">
        <f>T70*$A$67*2</f>
        <v>6.7608604439999995</v>
      </c>
      <c r="AI70" s="2">
        <f>U70*$A$67*2</f>
        <v>1.6765189740000002</v>
      </c>
      <c r="AJ70" s="2">
        <f>V70*$A$67*2</f>
        <v>7.6286551379999999E-12</v>
      </c>
      <c r="AK70" s="2">
        <f t="shared" ref="AK70:AL70" si="18">W70*$A$67*2</f>
        <v>9428.9052000000011</v>
      </c>
      <c r="AL70" s="3">
        <f t="shared" si="18"/>
        <v>2058.520074</v>
      </c>
    </row>
    <row r="71" spans="1:38" x14ac:dyDescent="0.25">
      <c r="A71" s="10"/>
    </row>
    <row r="72" spans="1:38" x14ac:dyDescent="0.25">
      <c r="A72" s="10"/>
    </row>
    <row r="73" spans="1:38" ht="15.75" thickBot="1" x14ac:dyDescent="0.3">
      <c r="A73" s="10"/>
    </row>
    <row r="74" spans="1:38" ht="15.75" thickBot="1" x14ac:dyDescent="0.3">
      <c r="A74" s="10"/>
      <c r="K74" s="39" t="s">
        <v>25</v>
      </c>
      <c r="L74" s="40"/>
      <c r="M74" s="40"/>
      <c r="N74" s="40"/>
      <c r="O74" s="40"/>
      <c r="P74" s="40"/>
      <c r="Q74" s="41"/>
      <c r="R74" s="39" t="s">
        <v>26</v>
      </c>
      <c r="S74" s="40"/>
      <c r="T74" s="40"/>
      <c r="U74" s="40"/>
      <c r="V74" s="40"/>
      <c r="W74" s="40"/>
      <c r="X74" s="41"/>
      <c r="Y74" s="42" t="s">
        <v>25</v>
      </c>
      <c r="Z74" s="42"/>
      <c r="AA74" s="42"/>
      <c r="AB74" s="42"/>
      <c r="AC74" s="42"/>
      <c r="AD74" s="7"/>
      <c r="AE74" s="8"/>
      <c r="AF74" s="39" t="s">
        <v>26</v>
      </c>
      <c r="AG74" s="40"/>
      <c r="AH74" s="40"/>
      <c r="AI74" s="40"/>
      <c r="AJ74" s="40"/>
      <c r="AK74" s="40"/>
      <c r="AL74" s="41"/>
    </row>
    <row r="75" spans="1:38" ht="15.75" thickBot="1" x14ac:dyDescent="0.3">
      <c r="A75" s="49">
        <f>C24+C25+C28</f>
        <v>1768.7799999999997</v>
      </c>
      <c r="B75" s="13" t="s">
        <v>8</v>
      </c>
      <c r="C75" s="16" t="s">
        <v>18</v>
      </c>
      <c r="D75" s="16" t="s">
        <v>20</v>
      </c>
      <c r="E75" s="16" t="s">
        <v>22</v>
      </c>
      <c r="F75" s="16" t="s">
        <v>34</v>
      </c>
      <c r="G75" s="16" t="s">
        <v>35</v>
      </c>
      <c r="H75" s="16" t="s">
        <v>67</v>
      </c>
      <c r="I75" s="16" t="s">
        <v>23</v>
      </c>
      <c r="J75" s="17" t="s">
        <v>24</v>
      </c>
      <c r="K75" s="20" t="s">
        <v>28</v>
      </c>
      <c r="L75" s="18" t="s">
        <v>30</v>
      </c>
      <c r="M75" s="18" t="s">
        <v>31</v>
      </c>
      <c r="N75" s="18" t="s">
        <v>32</v>
      </c>
      <c r="O75" s="18" t="s">
        <v>29</v>
      </c>
      <c r="P75" s="18" t="s">
        <v>71</v>
      </c>
      <c r="Q75" s="19" t="s">
        <v>72</v>
      </c>
      <c r="R75" s="20" t="s">
        <v>28</v>
      </c>
      <c r="S75" s="18" t="s">
        <v>30</v>
      </c>
      <c r="T75" s="18" t="s">
        <v>31</v>
      </c>
      <c r="U75" s="18" t="s">
        <v>32</v>
      </c>
      <c r="V75" s="18" t="s">
        <v>29</v>
      </c>
      <c r="W75" s="18" t="s">
        <v>71</v>
      </c>
      <c r="X75" s="19" t="s">
        <v>72</v>
      </c>
      <c r="Y75" s="18" t="s">
        <v>28</v>
      </c>
      <c r="Z75" s="18" t="s">
        <v>30</v>
      </c>
      <c r="AA75" s="18" t="s">
        <v>31</v>
      </c>
      <c r="AB75" s="18" t="s">
        <v>32</v>
      </c>
      <c r="AC75" s="18" t="s">
        <v>29</v>
      </c>
      <c r="AD75" s="18" t="s">
        <v>71</v>
      </c>
      <c r="AE75" s="19" t="s">
        <v>72</v>
      </c>
      <c r="AF75" s="18" t="s">
        <v>28</v>
      </c>
      <c r="AG75" s="18" t="s">
        <v>30</v>
      </c>
      <c r="AH75" s="18" t="s">
        <v>31</v>
      </c>
      <c r="AI75" s="18" t="s">
        <v>32</v>
      </c>
      <c r="AJ75" s="18" t="s">
        <v>29</v>
      </c>
      <c r="AK75" s="18" t="s">
        <v>71</v>
      </c>
      <c r="AL75" s="19" t="s">
        <v>72</v>
      </c>
    </row>
    <row r="76" spans="1:38" x14ac:dyDescent="0.25">
      <c r="A76" s="50"/>
      <c r="B76" s="14" t="s">
        <v>9</v>
      </c>
      <c r="J76" s="5"/>
      <c r="Q76" s="5"/>
      <c r="X76" s="5"/>
      <c r="AE76" s="5"/>
      <c r="AL76" s="5"/>
    </row>
    <row r="77" spans="1:38" x14ac:dyDescent="0.25">
      <c r="A77" s="50"/>
      <c r="B77" s="14" t="s">
        <v>12</v>
      </c>
      <c r="J77" s="5"/>
      <c r="Q77" s="5"/>
      <c r="X77" s="5"/>
      <c r="AE77" s="5"/>
      <c r="AL77" s="5"/>
    </row>
    <row r="78" spans="1:38" ht="15.75" thickBot="1" x14ac:dyDescent="0.3">
      <c r="A78" s="11"/>
      <c r="B78" s="15"/>
      <c r="C78" s="2" t="s">
        <v>54</v>
      </c>
      <c r="D78" s="2" t="s">
        <v>55</v>
      </c>
      <c r="E78" s="2"/>
      <c r="F78" s="2">
        <v>65.7</v>
      </c>
      <c r="G78" s="2" t="s">
        <v>53</v>
      </c>
      <c r="H78" s="2">
        <v>25</v>
      </c>
      <c r="I78" s="6" t="s">
        <v>52</v>
      </c>
      <c r="J78" s="3" t="s">
        <v>15</v>
      </c>
      <c r="K78" s="2">
        <v>44.1</v>
      </c>
      <c r="L78" s="2">
        <v>0.30199999999999999</v>
      </c>
      <c r="M78" s="2">
        <v>0.49</v>
      </c>
      <c r="N78" s="2">
        <v>2.4E-2</v>
      </c>
      <c r="O78" s="2">
        <v>7.1999999999999997E-6</v>
      </c>
      <c r="P78" s="2">
        <v>831</v>
      </c>
      <c r="Q78" s="3">
        <v>711</v>
      </c>
      <c r="R78" s="2">
        <f>0.491+21.9+0.91</f>
        <v>23.300999999999998</v>
      </c>
      <c r="S78" s="2">
        <f>0.0025+0.0106+0.00106</f>
        <v>1.4160000000000001E-2</v>
      </c>
      <c r="T78" s="2">
        <f>0.00239+0.00788+0.000892</f>
        <v>1.1162E-2</v>
      </c>
      <c r="U78" s="2">
        <f>0.0087+0.0417+0.0037</f>
        <v>5.4100000000000002E-2</v>
      </c>
      <c r="V78" s="2">
        <f>0.000000111+0.0000000466+0.000000045</f>
        <v>2.026E-7</v>
      </c>
      <c r="W78" s="2">
        <f>7.38+3.57+2.94</f>
        <v>13.889999999999999</v>
      </c>
      <c r="X78" s="3">
        <f>0.12+0.131+0.056</f>
        <v>0.307</v>
      </c>
      <c r="Y78" s="2">
        <f>K78*$A$75*2</f>
        <v>156006.39599999998</v>
      </c>
      <c r="Z78" s="2">
        <f>L78*$A$75*2</f>
        <v>1068.3431199999998</v>
      </c>
      <c r="AA78" s="2">
        <f>M78*$A$75*2</f>
        <v>1733.4043999999997</v>
      </c>
      <c r="AB78" s="2">
        <f>N78*$A$75*2</f>
        <v>84.901439999999994</v>
      </c>
      <c r="AC78" s="2">
        <f>O78*$A$75*2</f>
        <v>2.5470431999999994E-2</v>
      </c>
      <c r="AD78" s="2">
        <f t="shared" ref="AD78:AE78" si="19">P78*$A$75*2</f>
        <v>2939712.3599999994</v>
      </c>
      <c r="AE78" s="3">
        <f t="shared" si="19"/>
        <v>2515205.1599999997</v>
      </c>
      <c r="AF78" s="2">
        <f>R78*$A$75*2</f>
        <v>82428.685559999984</v>
      </c>
      <c r="AG78" s="2">
        <f>S78*$A$75*2</f>
        <v>50.091849599999996</v>
      </c>
      <c r="AH78" s="2">
        <f>T78*$A$75*2</f>
        <v>39.486244719999995</v>
      </c>
      <c r="AI78" s="2">
        <f>U78*$A$75*2</f>
        <v>191.38199599999999</v>
      </c>
      <c r="AJ78" s="2">
        <f>V78*$A$75*2</f>
        <v>7.1670965599999993E-4</v>
      </c>
      <c r="AK78" s="2">
        <f t="shared" ref="AK78:AL78" si="20">W78*$A$75*2</f>
        <v>49136.708399999989</v>
      </c>
      <c r="AL78" s="3">
        <f t="shared" si="20"/>
        <v>1086.0309199999999</v>
      </c>
    </row>
    <row r="79" spans="1:38" x14ac:dyDescent="0.25">
      <c r="A79" s="10"/>
      <c r="I79" t="s">
        <v>56</v>
      </c>
    </row>
    <row r="80" spans="1:38" x14ac:dyDescent="0.25">
      <c r="A80" s="10"/>
    </row>
    <row r="81" spans="1:38" ht="15.75" thickBot="1" x14ac:dyDescent="0.3">
      <c r="A81" s="10"/>
    </row>
    <row r="82" spans="1:38" ht="15.75" thickBot="1" x14ac:dyDescent="0.3">
      <c r="A82" s="10"/>
      <c r="K82" s="39" t="s">
        <v>25</v>
      </c>
      <c r="L82" s="40"/>
      <c r="M82" s="40"/>
      <c r="N82" s="40"/>
      <c r="O82" s="40"/>
      <c r="P82" s="40"/>
      <c r="Q82" s="41"/>
      <c r="R82" s="39" t="s">
        <v>26</v>
      </c>
      <c r="S82" s="40"/>
      <c r="T82" s="40"/>
      <c r="U82" s="40"/>
      <c r="V82" s="40"/>
      <c r="W82" s="40"/>
      <c r="X82" s="41"/>
      <c r="Y82" s="42" t="s">
        <v>25</v>
      </c>
      <c r="Z82" s="42"/>
      <c r="AA82" s="42"/>
      <c r="AB82" s="42"/>
      <c r="AC82" s="42"/>
      <c r="AD82" s="7"/>
      <c r="AE82" s="8"/>
      <c r="AF82" s="39" t="s">
        <v>26</v>
      </c>
      <c r="AG82" s="40"/>
      <c r="AH82" s="40"/>
      <c r="AI82" s="40"/>
      <c r="AJ82" s="40"/>
      <c r="AK82" s="40"/>
      <c r="AL82" s="41"/>
    </row>
    <row r="83" spans="1:38" ht="15.75" thickBot="1" x14ac:dyDescent="0.3">
      <c r="A83" s="49">
        <f>C26+C27</f>
        <v>737.81</v>
      </c>
      <c r="B83" s="13" t="s">
        <v>10</v>
      </c>
      <c r="C83" s="16" t="s">
        <v>18</v>
      </c>
      <c r="D83" s="16" t="s">
        <v>20</v>
      </c>
      <c r="E83" s="16" t="s">
        <v>22</v>
      </c>
      <c r="F83" s="16" t="s">
        <v>34</v>
      </c>
      <c r="G83" s="16" t="s">
        <v>35</v>
      </c>
      <c r="H83" s="16"/>
      <c r="I83" s="16" t="s">
        <v>23</v>
      </c>
      <c r="J83" s="17" t="s">
        <v>24</v>
      </c>
      <c r="K83" s="20" t="s">
        <v>28</v>
      </c>
      <c r="L83" s="18" t="s">
        <v>30</v>
      </c>
      <c r="M83" s="18" t="s">
        <v>31</v>
      </c>
      <c r="N83" s="18" t="s">
        <v>32</v>
      </c>
      <c r="O83" s="18" t="s">
        <v>29</v>
      </c>
      <c r="P83" s="18" t="s">
        <v>71</v>
      </c>
      <c r="Q83" s="19" t="s">
        <v>72</v>
      </c>
      <c r="R83" s="20" t="s">
        <v>28</v>
      </c>
      <c r="S83" s="18" t="s">
        <v>30</v>
      </c>
      <c r="T83" s="18" t="s">
        <v>31</v>
      </c>
      <c r="U83" s="18" t="s">
        <v>32</v>
      </c>
      <c r="V83" s="18" t="s">
        <v>29</v>
      </c>
      <c r="W83" s="18" t="s">
        <v>71</v>
      </c>
      <c r="X83" s="19" t="s">
        <v>72</v>
      </c>
      <c r="Y83" s="18" t="s">
        <v>28</v>
      </c>
      <c r="Z83" s="18" t="s">
        <v>30</v>
      </c>
      <c r="AA83" s="18" t="s">
        <v>31</v>
      </c>
      <c r="AB83" s="18" t="s">
        <v>32</v>
      </c>
      <c r="AC83" s="18" t="s">
        <v>29</v>
      </c>
      <c r="AD83" s="18" t="s">
        <v>71</v>
      </c>
      <c r="AE83" s="19" t="s">
        <v>72</v>
      </c>
      <c r="AF83" s="18" t="s">
        <v>28</v>
      </c>
      <c r="AG83" s="18" t="s">
        <v>30</v>
      </c>
      <c r="AH83" s="18" t="s">
        <v>31</v>
      </c>
      <c r="AI83" s="18" t="s">
        <v>32</v>
      </c>
      <c r="AJ83" s="18" t="s">
        <v>29</v>
      </c>
      <c r="AK83" s="18" t="s">
        <v>71</v>
      </c>
      <c r="AL83" s="19" t="s">
        <v>72</v>
      </c>
    </row>
    <row r="84" spans="1:38" x14ac:dyDescent="0.25">
      <c r="A84" s="50"/>
      <c r="B84" s="14" t="s">
        <v>11</v>
      </c>
      <c r="J84" s="5"/>
      <c r="Q84" s="5"/>
      <c r="X84" s="5"/>
      <c r="AE84" s="5"/>
      <c r="AL84" s="5"/>
    </row>
    <row r="85" spans="1:38" x14ac:dyDescent="0.25">
      <c r="A85" s="12"/>
      <c r="B85" s="14"/>
      <c r="J85" s="5"/>
      <c r="Q85" s="5"/>
      <c r="X85" s="5"/>
      <c r="AE85" s="5"/>
      <c r="AL85" s="5"/>
    </row>
    <row r="86" spans="1:38" ht="15.75" thickBot="1" x14ac:dyDescent="0.3">
      <c r="A86" s="11"/>
      <c r="B86" s="15"/>
      <c r="C86" s="2" t="s">
        <v>54</v>
      </c>
      <c r="D86" s="2" t="s">
        <v>58</v>
      </c>
      <c r="E86" s="2"/>
      <c r="F86" s="2">
        <v>77.599999999999994</v>
      </c>
      <c r="G86" s="2" t="s">
        <v>53</v>
      </c>
      <c r="H86" s="2">
        <v>25</v>
      </c>
      <c r="I86" s="6" t="s">
        <v>57</v>
      </c>
      <c r="J86" s="3" t="s">
        <v>15</v>
      </c>
      <c r="K86" s="2">
        <f>29.8/1.82</f>
        <v>16.373626373626372</v>
      </c>
      <c r="L86" s="2">
        <f>0.145/1.82</f>
        <v>7.9670329670329665E-2</v>
      </c>
      <c r="M86" s="2">
        <f>1.85/1.82</f>
        <v>1.0164835164835164</v>
      </c>
      <c r="N86" s="2">
        <f>0.516/1.82</f>
        <v>0.28351648351648351</v>
      </c>
      <c r="O86" s="2">
        <f>0.0000469/1.82</f>
        <v>2.5769230769230768E-5</v>
      </c>
      <c r="P86" s="2">
        <f>3600/1.82</f>
        <v>1978.0219780219779</v>
      </c>
      <c r="Q86" s="3">
        <f>3.41/1.82</f>
        <v>1.8736263736263736</v>
      </c>
      <c r="R86" s="2">
        <f>(5+2.32+18.2)/1.82</f>
        <v>14.021978021978022</v>
      </c>
      <c r="S86" s="2">
        <f>(0.00462+0.0013+0.000117+0.000218)/1.82</f>
        <v>3.4368131868131868E-3</v>
      </c>
      <c r="T86" s="2">
        <f>(0.0119+0.0033+0.00161)/1.82</f>
        <v>9.2362637362637372E-3</v>
      </c>
      <c r="U86" s="2">
        <f>(0.00885+0.00287+0.00233+0.000355)/1.82</f>
        <v>7.9148351648351649E-3</v>
      </c>
      <c r="V86" s="2">
        <f>(0.000000909+0.000000434+0.0000000424+0.0000000868)/1.82</f>
        <v>8.0890109890109891E-7</v>
      </c>
      <c r="W86" s="2">
        <f>(73.2+36.1+3.65+7.26)/1.82</f>
        <v>66.049450549450555</v>
      </c>
      <c r="X86" s="3">
        <f>(0.41+0.36+0.113+0.0904)/1.82</f>
        <v>0.5348351648351648</v>
      </c>
      <c r="Y86" s="2">
        <f>K86*$A$83*2</f>
        <v>24161.250549450546</v>
      </c>
      <c r="Z86" s="2">
        <f>L86*$A$83*2</f>
        <v>117.56313186813185</v>
      </c>
      <c r="AA86" s="2">
        <f>M86*$A$83*2</f>
        <v>1499.9434065934065</v>
      </c>
      <c r="AB86" s="2">
        <f>N86*$A$83*2</f>
        <v>418.36259340659336</v>
      </c>
      <c r="AC86" s="2">
        <f>O86*$A$83*2</f>
        <v>3.8025592307692306E-2</v>
      </c>
      <c r="AD86" s="2">
        <f t="shared" ref="AD86:AE86" si="21">P86*$A$83*2</f>
        <v>2918808.7912087911</v>
      </c>
      <c r="AE86" s="3">
        <f t="shared" si="21"/>
        <v>2764.7605494505492</v>
      </c>
      <c r="AF86" s="2">
        <f>R86*$A$83*2</f>
        <v>20691.111208791208</v>
      </c>
      <c r="AG86" s="2">
        <f>S86*$A$83*2</f>
        <v>5.071430274725274</v>
      </c>
      <c r="AH86" s="2">
        <f>T86*$A$83*2</f>
        <v>13.629215494505495</v>
      </c>
      <c r="AI86" s="2">
        <f>U86*$A$83*2</f>
        <v>11.679289065934066</v>
      </c>
      <c r="AJ86" s="2">
        <f>V86*$A$83*2</f>
        <v>1.1936306395604395E-3</v>
      </c>
      <c r="AK86" s="2">
        <f t="shared" ref="AK86:AL86" si="22">W86*$A$83*2</f>
        <v>97463.890219780224</v>
      </c>
      <c r="AL86" s="3">
        <f t="shared" si="22"/>
        <v>789.21346593406588</v>
      </c>
    </row>
    <row r="87" spans="1:38" x14ac:dyDescent="0.25">
      <c r="F87">
        <v>42.6</v>
      </c>
      <c r="G87" t="s">
        <v>43</v>
      </c>
      <c r="I87" t="s">
        <v>59</v>
      </c>
    </row>
  </sheetData>
  <mergeCells count="47">
    <mergeCell ref="U21:AA21"/>
    <mergeCell ref="AB21:AH21"/>
    <mergeCell ref="U19:AH20"/>
    <mergeCell ref="Z13:AF13"/>
    <mergeCell ref="K13:Q13"/>
    <mergeCell ref="R13:X13"/>
    <mergeCell ref="AG13:AM13"/>
    <mergeCell ref="K12:X12"/>
    <mergeCell ref="Z12:AM12"/>
    <mergeCell ref="AF31:AL31"/>
    <mergeCell ref="AF38:AL38"/>
    <mergeCell ref="Y74:AC74"/>
    <mergeCell ref="Y82:AC82"/>
    <mergeCell ref="Y52:AC52"/>
    <mergeCell ref="Y59:AC59"/>
    <mergeCell ref="Y66:AC66"/>
    <mergeCell ref="AF45:AL45"/>
    <mergeCell ref="AF52:AL52"/>
    <mergeCell ref="AF59:AL59"/>
    <mergeCell ref="AF66:AL66"/>
    <mergeCell ref="R74:X74"/>
    <mergeCell ref="A75:A77"/>
    <mergeCell ref="R82:X82"/>
    <mergeCell ref="K30:V30"/>
    <mergeCell ref="Y38:AC38"/>
    <mergeCell ref="A83:A84"/>
    <mergeCell ref="K52:Q52"/>
    <mergeCell ref="K59:Q59"/>
    <mergeCell ref="K66:Q66"/>
    <mergeCell ref="K74:Q74"/>
    <mergeCell ref="K82:Q82"/>
    <mergeCell ref="AF74:AL74"/>
    <mergeCell ref="AF82:AL82"/>
    <mergeCell ref="Y45:AC45"/>
    <mergeCell ref="Y31:AE31"/>
    <mergeCell ref="K20:Q20"/>
    <mergeCell ref="K21:Q21"/>
    <mergeCell ref="K31:Q31"/>
    <mergeCell ref="R31:X31"/>
    <mergeCell ref="K38:Q38"/>
    <mergeCell ref="K45:Q45"/>
    <mergeCell ref="R38:X38"/>
    <mergeCell ref="R45:X45"/>
    <mergeCell ref="Y30:AL30"/>
    <mergeCell ref="R52:X52"/>
    <mergeCell ref="R59:X59"/>
    <mergeCell ref="R66:X66"/>
  </mergeCells>
  <hyperlinks>
    <hyperlink ref="I35" r:id="rId1" display="https://www.calsitherm.de/fileadmin/Downloads/EPD_DE_Mikroporoese_Calciumsilikat-Waermedaemmstoffe_20.04.2018-19.04.2023.pdf" xr:uid="{1FEAEB75-A418-4383-BB9F-BA920C4C2662}"/>
    <hyperlink ref="I42" r:id="rId2" display="https://www.calsitherm.de/fileadmin/Downloads/EPD_DE_Mikroporoese_Calciumsilikat-Waermedaemmstoffe_20.04.2018-19.04.2023.pdf" xr:uid="{138641B0-179F-46E5-A2B8-D6A6D88763F8}"/>
    <hyperlink ref="I48" r:id="rId3" display="https://www.dataholz.eu/download/de/awrhhi01a-3.pdf" xr:uid="{67C6CBFF-0C9B-45EA-A1C0-80C330A8AB0C}"/>
    <hyperlink ref="I55" r:id="rId4" display="https://www.dataholz.eu/download/de/awrhhi01a-3.pdf" xr:uid="{997FEA82-430D-4D5F-84FD-C114C3A76E1C}"/>
    <hyperlink ref="I62" r:id="rId5" display="https://www.dataholz.eu/download/de/sdrhbi01a-3.pdf" xr:uid="{49199472-DD3F-4278-B589-0D2F95C15493}"/>
    <hyperlink ref="I70" r:id="rId6" display="https://www.bauder.de/fileadmin/bauder.de/DOWNLOADS/ALLGEMEIN/Zertifikate/EPD/BauderPIR_mit_Aluminium-Deckschicht_Branchen-EPD.pdf" xr:uid="{39FD0547-F233-4782-BB32-BB96DBB8A116}"/>
    <hyperlink ref="I78" r:id="rId7" display="https://www.bau-epd.at/fileadmin/user_upload/epds_Deutsch/BAU-EPD-PLATTFORM-FENSTER-HOLZ-VERBAND-OESTERREICH-2022-1-Ecoinvent-Holzfenster-2022-11-09.pdf" xr:uid="{C1142426-2F3D-4D12-84AB-68F00179A94F}"/>
    <hyperlink ref="I86" r:id="rId8" display="https://www.bau-epd.at/fileadmin/user_upload/epds_Deutsch/BAU-EPD-ALUKOENIGSTAHL-2020-3-Ecoinvent-AWS-20200626.pdf" xr:uid="{7062F69A-A821-4398-B222-93A0AAC0FD48}"/>
  </hyperlinks>
  <pageMargins left="0.7" right="0.7" top="0.78740157499999996" bottom="0.78740157499999996" header="0.3" footer="0.3"/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C2B80-0BEE-4BDD-BCBC-6ACFFCA28E6A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Ökologische Auswirkungen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Dominik</dc:creator>
  <dcterms:created xsi:type="dcterms:W3CDTF">2024-05-10T15:04:47Z</dcterms:created>
  <dcterms:modified xsi:type="dcterms:W3CDTF">2024-05-15T14:48:44Z</dcterms:modified>
</cp:coreProperties>
</file>